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drawings/drawing2.xml" ContentType="application/vnd.openxmlformats-officedocument.drawing+xml"/>
  <Override PartName="/xl/activeX/activeX10.xml" ContentType="application/vnd.ms-office.activeX+xml"/>
  <Override PartName="/xl/activeX/activeX10.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X:\Publications\Working drive - Simbeck\FORMS - ALL\Water Quality\wq-wwprm\wq-wwprm2\"/>
    </mc:Choice>
  </mc:AlternateContent>
  <xr:revisionPtr revIDLastSave="0" documentId="13_ncr:1_{CC919338-844C-44EF-9A1D-5DE58A568A59}" xr6:coauthVersionLast="47" xr6:coauthVersionMax="47" xr10:uidLastSave="{00000000-0000-0000-0000-000000000000}"/>
  <bookViews>
    <workbookView xWindow="-120" yWindow="-120" windowWidth="29040" windowHeight="15840" tabRatio="844" xr2:uid="{EEFC9E09-7FD6-4DFD-B8BE-5C6D6134FAD4}"/>
  </bookViews>
  <sheets>
    <sheet name="START HERE" sheetId="4" r:id="rId1"/>
    <sheet name="Instructions" sheetId="5" r:id="rId2"/>
    <sheet name="Interface - Substantial impacts" sheetId="10" r:id="rId3"/>
    <sheet name="Interface - Widespread impacts" sheetId="15" r:id="rId4"/>
    <sheet name="Calculations" sheetId="12" state="hidden" r:id="rId5"/>
    <sheet name="Secondary Calculations" sheetId="13" state="hidden" r:id="rId6"/>
    <sheet name="Municipal screener data" sheetId="1" state="hidden" r:id="rId7"/>
    <sheet name="Secondary Scores data" sheetId="2" state="hidden" r:id="rId8"/>
    <sheet name="DW Facility data" sheetId="6" state="hidden" r:id="rId9"/>
    <sheet name="WWTP facility data" sheetId="3" state="hidden" r:id="rId10"/>
    <sheet name="RO EOP" sheetId="8" state="hidden" r:id="rId11"/>
    <sheet name="Ratio analysis" sheetId="9" r:id="rId12"/>
    <sheet name="Additional evidence" sheetId="14" r:id="rId13"/>
    <sheet name="Results" sheetId="11" r:id="rId14"/>
  </sheets>
  <definedNames>
    <definedName name="_xlnm._FilterDatabase" localSheetId="8" hidden="1">'DW Facility data'!$A$1:$P$729</definedName>
    <definedName name="_xlnm._FilterDatabase" localSheetId="10" hidden="1">'RO EOP'!$A$1:$T$89</definedName>
    <definedName name="_xlnm._FilterDatabase" localSheetId="7" hidden="1">'Secondary Scores data'!$B$1:$Y$857</definedName>
    <definedName name="_xlnm.Print_Area" localSheetId="2">'Interface - Substantial impacts'!$A$1:$J$60</definedName>
    <definedName name="_xlnm.Print_Area" localSheetId="13">Results!$A$1:$L$45</definedName>
    <definedName name="_xlnm.Print_Area" localSheetId="0">'START HERE'!$A$1:$B$28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2" i="12" l="1"/>
  <c r="I53" i="12"/>
  <c r="G7" i="12"/>
  <c r="H7" i="12"/>
  <c r="H5" i="12"/>
  <c r="G5" i="12"/>
  <c r="G18" i="12"/>
  <c r="H18" i="12"/>
  <c r="I27" i="10"/>
  <c r="G19" i="12" s="1"/>
  <c r="C3" i="11"/>
  <c r="C13" i="9"/>
  <c r="N3" i="6"/>
  <c r="N4" i="6"/>
  <c r="N5"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 r="N195" i="6"/>
  <c r="N196" i="6"/>
  <c r="N197" i="6"/>
  <c r="N198" i="6"/>
  <c r="N199" i="6"/>
  <c r="N200" i="6"/>
  <c r="N201" i="6"/>
  <c r="N202" i="6"/>
  <c r="N203" i="6"/>
  <c r="N204" i="6"/>
  <c r="N205" i="6"/>
  <c r="N206" i="6"/>
  <c r="N207" i="6"/>
  <c r="N208" i="6"/>
  <c r="N209" i="6"/>
  <c r="N210" i="6"/>
  <c r="N211" i="6"/>
  <c r="N212" i="6"/>
  <c r="N213" i="6"/>
  <c r="N214" i="6"/>
  <c r="N215" i="6"/>
  <c r="N216" i="6"/>
  <c r="N217" i="6"/>
  <c r="N218" i="6"/>
  <c r="N219" i="6"/>
  <c r="N220" i="6"/>
  <c r="N221" i="6"/>
  <c r="N222" i="6"/>
  <c r="N223" i="6"/>
  <c r="N224" i="6"/>
  <c r="N225" i="6"/>
  <c r="N226" i="6"/>
  <c r="N227" i="6"/>
  <c r="N228" i="6"/>
  <c r="N229" i="6"/>
  <c r="N230" i="6"/>
  <c r="N231" i="6"/>
  <c r="N232" i="6"/>
  <c r="N233" i="6"/>
  <c r="N234" i="6"/>
  <c r="N235" i="6"/>
  <c r="N236" i="6"/>
  <c r="N237" i="6"/>
  <c r="N238" i="6"/>
  <c r="N239" i="6"/>
  <c r="N240" i="6"/>
  <c r="N241" i="6"/>
  <c r="N242" i="6"/>
  <c r="N243" i="6"/>
  <c r="N244" i="6"/>
  <c r="N245" i="6"/>
  <c r="N246" i="6"/>
  <c r="N247" i="6"/>
  <c r="N248" i="6"/>
  <c r="N249" i="6"/>
  <c r="N250" i="6"/>
  <c r="N251" i="6"/>
  <c r="N252" i="6"/>
  <c r="N253" i="6"/>
  <c r="N254" i="6"/>
  <c r="N255" i="6"/>
  <c r="N256" i="6"/>
  <c r="N257" i="6"/>
  <c r="N258" i="6"/>
  <c r="N259" i="6"/>
  <c r="N260" i="6"/>
  <c r="N261" i="6"/>
  <c r="N262" i="6"/>
  <c r="N263" i="6"/>
  <c r="N264" i="6"/>
  <c r="N265" i="6"/>
  <c r="N266" i="6"/>
  <c r="N267" i="6"/>
  <c r="N268" i="6"/>
  <c r="N269" i="6"/>
  <c r="N270" i="6"/>
  <c r="N271" i="6"/>
  <c r="N272" i="6"/>
  <c r="N273" i="6"/>
  <c r="N274" i="6"/>
  <c r="N275" i="6"/>
  <c r="N276" i="6"/>
  <c r="N277" i="6"/>
  <c r="N278" i="6"/>
  <c r="N279" i="6"/>
  <c r="N280" i="6"/>
  <c r="N281" i="6"/>
  <c r="N282" i="6"/>
  <c r="N283" i="6"/>
  <c r="N284" i="6"/>
  <c r="N285" i="6"/>
  <c r="N286" i="6"/>
  <c r="N287" i="6"/>
  <c r="N288" i="6"/>
  <c r="N289" i="6"/>
  <c r="N290" i="6"/>
  <c r="N291" i="6"/>
  <c r="N292" i="6"/>
  <c r="N293" i="6"/>
  <c r="N294" i="6"/>
  <c r="N295" i="6"/>
  <c r="N296" i="6"/>
  <c r="N297" i="6"/>
  <c r="N298" i="6"/>
  <c r="N299" i="6"/>
  <c r="N300" i="6"/>
  <c r="N301" i="6"/>
  <c r="N302" i="6"/>
  <c r="N303" i="6"/>
  <c r="N304" i="6"/>
  <c r="N305" i="6"/>
  <c r="N306" i="6"/>
  <c r="N307" i="6"/>
  <c r="N308" i="6"/>
  <c r="N309" i="6"/>
  <c r="N310" i="6"/>
  <c r="N311" i="6"/>
  <c r="N312" i="6"/>
  <c r="N313" i="6"/>
  <c r="N314" i="6"/>
  <c r="N315" i="6"/>
  <c r="N316" i="6"/>
  <c r="N317" i="6"/>
  <c r="N318" i="6"/>
  <c r="N319" i="6"/>
  <c r="N320" i="6"/>
  <c r="N321" i="6"/>
  <c r="N322" i="6"/>
  <c r="N323" i="6"/>
  <c r="N324" i="6"/>
  <c r="N325" i="6"/>
  <c r="N326" i="6"/>
  <c r="N327" i="6"/>
  <c r="N328" i="6"/>
  <c r="N329" i="6"/>
  <c r="N330" i="6"/>
  <c r="N331" i="6"/>
  <c r="N332" i="6"/>
  <c r="N333" i="6"/>
  <c r="N334" i="6"/>
  <c r="N335" i="6"/>
  <c r="N336" i="6"/>
  <c r="N337" i="6"/>
  <c r="N338" i="6"/>
  <c r="N339" i="6"/>
  <c r="N340" i="6"/>
  <c r="N341" i="6"/>
  <c r="N342" i="6"/>
  <c r="N343" i="6"/>
  <c r="N344" i="6"/>
  <c r="N345" i="6"/>
  <c r="N346" i="6"/>
  <c r="N347" i="6"/>
  <c r="N348" i="6"/>
  <c r="N349" i="6"/>
  <c r="N350" i="6"/>
  <c r="N351" i="6"/>
  <c r="N352" i="6"/>
  <c r="N353" i="6"/>
  <c r="N354" i="6"/>
  <c r="N355" i="6"/>
  <c r="N356" i="6"/>
  <c r="N357" i="6"/>
  <c r="N358" i="6"/>
  <c r="N359" i="6"/>
  <c r="N360" i="6"/>
  <c r="N361" i="6"/>
  <c r="N362" i="6"/>
  <c r="N363" i="6"/>
  <c r="N364" i="6"/>
  <c r="N365" i="6"/>
  <c r="N366" i="6"/>
  <c r="N367" i="6"/>
  <c r="N368" i="6"/>
  <c r="N369" i="6"/>
  <c r="N370" i="6"/>
  <c r="N371" i="6"/>
  <c r="N372" i="6"/>
  <c r="N373" i="6"/>
  <c r="N374" i="6"/>
  <c r="N375" i="6"/>
  <c r="N376" i="6"/>
  <c r="N377" i="6"/>
  <c r="N378" i="6"/>
  <c r="N379" i="6"/>
  <c r="N380" i="6"/>
  <c r="N381" i="6"/>
  <c r="N382" i="6"/>
  <c r="N383" i="6"/>
  <c r="N384" i="6"/>
  <c r="N385" i="6"/>
  <c r="N386" i="6"/>
  <c r="N387" i="6"/>
  <c r="N388" i="6"/>
  <c r="N389" i="6"/>
  <c r="N390" i="6"/>
  <c r="N391" i="6"/>
  <c r="N392" i="6"/>
  <c r="N393" i="6"/>
  <c r="N394" i="6"/>
  <c r="N395" i="6"/>
  <c r="N396" i="6"/>
  <c r="N397" i="6"/>
  <c r="N398" i="6"/>
  <c r="N399" i="6"/>
  <c r="N400" i="6"/>
  <c r="N401" i="6"/>
  <c r="N402" i="6"/>
  <c r="N403" i="6"/>
  <c r="N404" i="6"/>
  <c r="N405" i="6"/>
  <c r="N406" i="6"/>
  <c r="N407" i="6"/>
  <c r="N408" i="6"/>
  <c r="N409" i="6"/>
  <c r="N410" i="6"/>
  <c r="N411" i="6"/>
  <c r="N412" i="6"/>
  <c r="N413" i="6"/>
  <c r="N414" i="6"/>
  <c r="N415" i="6"/>
  <c r="N416" i="6"/>
  <c r="N417" i="6"/>
  <c r="N418" i="6"/>
  <c r="N419" i="6"/>
  <c r="N420" i="6"/>
  <c r="N421" i="6"/>
  <c r="N422" i="6"/>
  <c r="N423" i="6"/>
  <c r="N424" i="6"/>
  <c r="N425" i="6"/>
  <c r="N426" i="6"/>
  <c r="N427" i="6"/>
  <c r="N428" i="6"/>
  <c r="N429" i="6"/>
  <c r="N430" i="6"/>
  <c r="N431" i="6"/>
  <c r="N432" i="6"/>
  <c r="N433" i="6"/>
  <c r="N434" i="6"/>
  <c r="N435" i="6"/>
  <c r="N436" i="6"/>
  <c r="N437" i="6"/>
  <c r="N438" i="6"/>
  <c r="N439" i="6"/>
  <c r="N440" i="6"/>
  <c r="N441" i="6"/>
  <c r="N442" i="6"/>
  <c r="N443" i="6"/>
  <c r="N444" i="6"/>
  <c r="N445" i="6"/>
  <c r="N446" i="6"/>
  <c r="N447" i="6"/>
  <c r="N448" i="6"/>
  <c r="N449" i="6"/>
  <c r="N450" i="6"/>
  <c r="N451" i="6"/>
  <c r="N452" i="6"/>
  <c r="N453" i="6"/>
  <c r="N454" i="6"/>
  <c r="N455" i="6"/>
  <c r="N456" i="6"/>
  <c r="N457" i="6"/>
  <c r="N458" i="6"/>
  <c r="N459" i="6"/>
  <c r="N460" i="6"/>
  <c r="N461" i="6"/>
  <c r="N462" i="6"/>
  <c r="N463" i="6"/>
  <c r="N464" i="6"/>
  <c r="N465" i="6"/>
  <c r="N466" i="6"/>
  <c r="N467" i="6"/>
  <c r="N468" i="6"/>
  <c r="N469" i="6"/>
  <c r="N470" i="6"/>
  <c r="N471" i="6"/>
  <c r="N472" i="6"/>
  <c r="N473" i="6"/>
  <c r="N474" i="6"/>
  <c r="N475" i="6"/>
  <c r="N476" i="6"/>
  <c r="N477" i="6"/>
  <c r="N478" i="6"/>
  <c r="N479" i="6"/>
  <c r="N480" i="6"/>
  <c r="N481" i="6"/>
  <c r="N482" i="6"/>
  <c r="N483" i="6"/>
  <c r="N484" i="6"/>
  <c r="N485" i="6"/>
  <c r="N486" i="6"/>
  <c r="N487" i="6"/>
  <c r="N488" i="6"/>
  <c r="N489" i="6"/>
  <c r="N490" i="6"/>
  <c r="N491" i="6"/>
  <c r="N492" i="6"/>
  <c r="N493" i="6"/>
  <c r="N494" i="6"/>
  <c r="N495" i="6"/>
  <c r="N496" i="6"/>
  <c r="N497" i="6"/>
  <c r="N498" i="6"/>
  <c r="N499" i="6"/>
  <c r="N500" i="6"/>
  <c r="N501" i="6"/>
  <c r="N502" i="6"/>
  <c r="N503" i="6"/>
  <c r="N504" i="6"/>
  <c r="N505" i="6"/>
  <c r="N506" i="6"/>
  <c r="N507" i="6"/>
  <c r="N508" i="6"/>
  <c r="N509" i="6"/>
  <c r="N510" i="6"/>
  <c r="N511" i="6"/>
  <c r="N512" i="6"/>
  <c r="N513" i="6"/>
  <c r="N514" i="6"/>
  <c r="N515" i="6"/>
  <c r="N516" i="6"/>
  <c r="N517" i="6"/>
  <c r="N518" i="6"/>
  <c r="N519" i="6"/>
  <c r="N520" i="6"/>
  <c r="N521" i="6"/>
  <c r="N522" i="6"/>
  <c r="N523" i="6"/>
  <c r="N524" i="6"/>
  <c r="N525" i="6"/>
  <c r="N526" i="6"/>
  <c r="N527" i="6"/>
  <c r="N528" i="6"/>
  <c r="N529" i="6"/>
  <c r="N530" i="6"/>
  <c r="N531" i="6"/>
  <c r="N532" i="6"/>
  <c r="N533" i="6"/>
  <c r="N534" i="6"/>
  <c r="N535" i="6"/>
  <c r="N536" i="6"/>
  <c r="N537" i="6"/>
  <c r="N538" i="6"/>
  <c r="N539" i="6"/>
  <c r="N540" i="6"/>
  <c r="N541" i="6"/>
  <c r="N542" i="6"/>
  <c r="N543" i="6"/>
  <c r="N544" i="6"/>
  <c r="N545" i="6"/>
  <c r="N546" i="6"/>
  <c r="N547" i="6"/>
  <c r="N548" i="6"/>
  <c r="N549" i="6"/>
  <c r="N550" i="6"/>
  <c r="N551" i="6"/>
  <c r="N552" i="6"/>
  <c r="N553" i="6"/>
  <c r="N554" i="6"/>
  <c r="N555" i="6"/>
  <c r="N556" i="6"/>
  <c r="N557" i="6"/>
  <c r="N558" i="6"/>
  <c r="N559" i="6"/>
  <c r="N560" i="6"/>
  <c r="N561" i="6"/>
  <c r="N562" i="6"/>
  <c r="N563" i="6"/>
  <c r="N564" i="6"/>
  <c r="N565" i="6"/>
  <c r="N566" i="6"/>
  <c r="N567" i="6"/>
  <c r="N568" i="6"/>
  <c r="N569" i="6"/>
  <c r="N570" i="6"/>
  <c r="N571" i="6"/>
  <c r="N572" i="6"/>
  <c r="N573" i="6"/>
  <c r="N574" i="6"/>
  <c r="N575" i="6"/>
  <c r="N576" i="6"/>
  <c r="N577" i="6"/>
  <c r="N578" i="6"/>
  <c r="N579" i="6"/>
  <c r="N580" i="6"/>
  <c r="N581" i="6"/>
  <c r="N582" i="6"/>
  <c r="N583" i="6"/>
  <c r="N584" i="6"/>
  <c r="N585" i="6"/>
  <c r="N586" i="6"/>
  <c r="N587" i="6"/>
  <c r="N588" i="6"/>
  <c r="N589" i="6"/>
  <c r="N590" i="6"/>
  <c r="N591" i="6"/>
  <c r="N592" i="6"/>
  <c r="N593" i="6"/>
  <c r="N594" i="6"/>
  <c r="N595" i="6"/>
  <c r="N596" i="6"/>
  <c r="N597" i="6"/>
  <c r="N598" i="6"/>
  <c r="N599" i="6"/>
  <c r="N600" i="6"/>
  <c r="N601" i="6"/>
  <c r="N602" i="6"/>
  <c r="N603" i="6"/>
  <c r="N604" i="6"/>
  <c r="N605" i="6"/>
  <c r="N606" i="6"/>
  <c r="N607" i="6"/>
  <c r="N608" i="6"/>
  <c r="N609" i="6"/>
  <c r="N610" i="6"/>
  <c r="N611" i="6"/>
  <c r="N612" i="6"/>
  <c r="N613" i="6"/>
  <c r="N614" i="6"/>
  <c r="N615" i="6"/>
  <c r="N616" i="6"/>
  <c r="N617" i="6"/>
  <c r="N618" i="6"/>
  <c r="N619" i="6"/>
  <c r="N620" i="6"/>
  <c r="N621" i="6"/>
  <c r="N622" i="6"/>
  <c r="N623" i="6"/>
  <c r="N624" i="6"/>
  <c r="N625" i="6"/>
  <c r="N626" i="6"/>
  <c r="N627" i="6"/>
  <c r="N628" i="6"/>
  <c r="N629" i="6"/>
  <c r="N630" i="6"/>
  <c r="N631" i="6"/>
  <c r="N632" i="6"/>
  <c r="N633" i="6"/>
  <c r="N634" i="6"/>
  <c r="N635" i="6"/>
  <c r="N636" i="6"/>
  <c r="N637" i="6"/>
  <c r="N638" i="6"/>
  <c r="N639" i="6"/>
  <c r="N640" i="6"/>
  <c r="N641" i="6"/>
  <c r="N642" i="6"/>
  <c r="N643" i="6"/>
  <c r="N644" i="6"/>
  <c r="N645" i="6"/>
  <c r="N646" i="6"/>
  <c r="N647" i="6"/>
  <c r="N648" i="6"/>
  <c r="N649" i="6"/>
  <c r="N650" i="6"/>
  <c r="N651" i="6"/>
  <c r="N652" i="6"/>
  <c r="N653" i="6"/>
  <c r="N654" i="6"/>
  <c r="N655" i="6"/>
  <c r="N656" i="6"/>
  <c r="N657" i="6"/>
  <c r="N658" i="6"/>
  <c r="N659" i="6"/>
  <c r="N660" i="6"/>
  <c r="N661" i="6"/>
  <c r="N662" i="6"/>
  <c r="N663" i="6"/>
  <c r="N664" i="6"/>
  <c r="N665" i="6"/>
  <c r="N666" i="6"/>
  <c r="N667" i="6"/>
  <c r="N668" i="6"/>
  <c r="N669" i="6"/>
  <c r="N670" i="6"/>
  <c r="N671" i="6"/>
  <c r="N672" i="6"/>
  <c r="N673" i="6"/>
  <c r="N674" i="6"/>
  <c r="N675" i="6"/>
  <c r="N676" i="6"/>
  <c r="N677" i="6"/>
  <c r="N678" i="6"/>
  <c r="N679" i="6"/>
  <c r="N680" i="6"/>
  <c r="N681" i="6"/>
  <c r="N682" i="6"/>
  <c r="N683" i="6"/>
  <c r="N684" i="6"/>
  <c r="N685" i="6"/>
  <c r="N686" i="6"/>
  <c r="N687" i="6"/>
  <c r="N688" i="6"/>
  <c r="N689" i="6"/>
  <c r="N690" i="6"/>
  <c r="N691" i="6"/>
  <c r="N692" i="6"/>
  <c r="N693" i="6"/>
  <c r="N694" i="6"/>
  <c r="N695" i="6"/>
  <c r="N696" i="6"/>
  <c r="N697" i="6"/>
  <c r="N698" i="6"/>
  <c r="N699" i="6"/>
  <c r="N700" i="6"/>
  <c r="N701" i="6"/>
  <c r="N702" i="6"/>
  <c r="N703" i="6"/>
  <c r="N704" i="6"/>
  <c r="N705" i="6"/>
  <c r="N706" i="6"/>
  <c r="N707" i="6"/>
  <c r="N708" i="6"/>
  <c r="N709" i="6"/>
  <c r="N710" i="6"/>
  <c r="N711" i="6"/>
  <c r="N712" i="6"/>
  <c r="N713" i="6"/>
  <c r="N714" i="6"/>
  <c r="N715" i="6"/>
  <c r="N716" i="6"/>
  <c r="N717" i="6"/>
  <c r="N718" i="6"/>
  <c r="N719" i="6"/>
  <c r="N720" i="6"/>
  <c r="N721" i="6"/>
  <c r="N722" i="6"/>
  <c r="N723" i="6"/>
  <c r="N724" i="6"/>
  <c r="N725" i="6"/>
  <c r="N726" i="6"/>
  <c r="N727" i="6"/>
  <c r="N728" i="6"/>
  <c r="N729" i="6"/>
  <c r="N2" i="6"/>
  <c r="M16" i="6"/>
  <c r="M23" i="6"/>
  <c r="M24" i="6"/>
  <c r="M49" i="6"/>
  <c r="M55" i="6"/>
  <c r="M62" i="6"/>
  <c r="M87" i="6"/>
  <c r="M88" i="6"/>
  <c r="M94" i="6"/>
  <c r="M119" i="6"/>
  <c r="M126" i="6"/>
  <c r="M127" i="6"/>
  <c r="M152" i="6"/>
  <c r="M158" i="6"/>
  <c r="M164" i="6"/>
  <c r="M190" i="6"/>
  <c r="M191" i="6"/>
  <c r="M196" i="6"/>
  <c r="M222" i="6"/>
  <c r="M228" i="6"/>
  <c r="M230" i="6"/>
  <c r="M255" i="6"/>
  <c r="M260" i="6"/>
  <c r="M265" i="6"/>
  <c r="M292" i="6"/>
  <c r="M294" i="6"/>
  <c r="M297" i="6"/>
  <c r="M324" i="6"/>
  <c r="M329" i="6"/>
  <c r="M332" i="6"/>
  <c r="M358" i="6"/>
  <c r="M361" i="6"/>
  <c r="M368" i="6"/>
  <c r="M393" i="6"/>
  <c r="M396" i="6"/>
  <c r="M400" i="6"/>
  <c r="M425" i="6"/>
  <c r="M432" i="6"/>
  <c r="M433" i="6"/>
  <c r="M460" i="6"/>
  <c r="M464" i="6"/>
  <c r="M471" i="6"/>
  <c r="M496" i="6"/>
  <c r="M497" i="6"/>
  <c r="M503" i="6"/>
  <c r="M528" i="6"/>
  <c r="M535" i="6"/>
  <c r="M536" i="6"/>
  <c r="M561" i="6"/>
  <c r="M567" i="6"/>
  <c r="M574" i="6"/>
  <c r="M599" i="6"/>
  <c r="M600" i="6"/>
  <c r="M606" i="6"/>
  <c r="M631" i="6"/>
  <c r="M638" i="6"/>
  <c r="M639" i="6"/>
  <c r="M664" i="6"/>
  <c r="M670" i="6"/>
  <c r="M671" i="6"/>
  <c r="M686" i="6"/>
  <c r="M689" i="6"/>
  <c r="M690" i="6"/>
  <c r="M702" i="6"/>
  <c r="M705" i="6"/>
  <c r="M706" i="6"/>
  <c r="M718" i="6"/>
  <c r="M721" i="6"/>
  <c r="M722" i="6"/>
  <c r="L4" i="13"/>
  <c r="L3" i="13"/>
  <c r="G7" i="13"/>
  <c r="H7" i="13" s="1"/>
  <c r="G36" i="12"/>
  <c r="H36" i="12"/>
  <c r="F36" i="12"/>
  <c r="G25" i="12"/>
  <c r="F18" i="12"/>
  <c r="F7" i="12"/>
  <c r="F5" i="12"/>
  <c r="I42" i="10"/>
  <c r="M8" i="6" s="1"/>
  <c r="I41" i="10"/>
  <c r="I14" i="10"/>
  <c r="I20" i="10" s="1"/>
  <c r="I40" i="10"/>
  <c r="L403" i="6"/>
  <c r="L431" i="6"/>
  <c r="L2" i="6"/>
  <c r="L258" i="6"/>
  <c r="L607" i="6"/>
  <c r="L185" i="6"/>
  <c r="L631" i="6"/>
  <c r="L186" i="6"/>
  <c r="L154" i="6"/>
  <c r="L278" i="6"/>
  <c r="L705" i="6"/>
  <c r="L358" i="6"/>
  <c r="L42" i="6"/>
  <c r="L17" i="6"/>
  <c r="L707" i="6"/>
  <c r="L6" i="6"/>
  <c r="L134" i="6"/>
  <c r="L636" i="6"/>
  <c r="L332" i="6"/>
  <c r="L505" i="6"/>
  <c r="L359" i="6"/>
  <c r="L600" i="6"/>
  <c r="L208" i="6"/>
  <c r="L473" i="6"/>
  <c r="L286" i="6"/>
  <c r="L23" i="6"/>
  <c r="L562" i="6"/>
  <c r="L404" i="6"/>
  <c r="L417" i="6"/>
  <c r="L608" i="6"/>
  <c r="L563" i="6"/>
  <c r="L80" i="6"/>
  <c r="L557" i="6"/>
  <c r="L113" i="6"/>
  <c r="L334" i="6"/>
  <c r="L102" i="6"/>
  <c r="L61" i="6"/>
  <c r="L209" i="6"/>
  <c r="L457" i="6"/>
  <c r="L317" i="6"/>
  <c r="L133" i="6"/>
  <c r="L671" i="6"/>
  <c r="L35" i="6"/>
  <c r="L314" i="6"/>
  <c r="L549" i="6"/>
  <c r="L598" i="6"/>
  <c r="L355" i="6"/>
  <c r="L609" i="6"/>
  <c r="L589" i="6"/>
  <c r="L201" i="6"/>
  <c r="L308" i="6"/>
  <c r="L500" i="6"/>
  <c r="L519" i="6"/>
  <c r="L29" i="6"/>
  <c r="L641" i="6"/>
  <c r="L642" i="6"/>
  <c r="L303" i="6"/>
  <c r="L595" i="6"/>
  <c r="L432" i="6"/>
  <c r="L265" i="6"/>
  <c r="L122" i="6"/>
  <c r="L672" i="6"/>
  <c r="L533" i="6"/>
  <c r="L346" i="6"/>
  <c r="L564" i="6"/>
  <c r="L30" i="6"/>
  <c r="L7" i="6"/>
  <c r="L287" i="6"/>
  <c r="L627" i="6"/>
  <c r="L215" i="6"/>
  <c r="L161" i="6"/>
  <c r="L392" i="6"/>
  <c r="L444" i="6"/>
  <c r="L266" i="6"/>
  <c r="L402" i="6"/>
  <c r="L309" i="6"/>
  <c r="L262" i="6"/>
  <c r="L125" i="6"/>
  <c r="L155" i="6"/>
  <c r="L694" i="6"/>
  <c r="L582" i="6"/>
  <c r="L433" i="6"/>
  <c r="L162" i="6"/>
  <c r="L478" i="6"/>
  <c r="L216" i="6"/>
  <c r="L217" i="6"/>
  <c r="L610" i="6"/>
  <c r="L643" i="6"/>
  <c r="L650" i="6"/>
  <c r="L415" i="6"/>
  <c r="L347" i="6"/>
  <c r="L394" i="6"/>
  <c r="L708" i="6"/>
  <c r="L534" i="6"/>
  <c r="L565" i="6"/>
  <c r="L135" i="6"/>
  <c r="L686" i="6"/>
  <c r="L451" i="6"/>
  <c r="L252" i="6"/>
  <c r="L24" i="6"/>
  <c r="L267" i="6"/>
  <c r="L263" i="6"/>
  <c r="L695" i="6"/>
  <c r="L721" i="6"/>
  <c r="L199" i="6"/>
  <c r="L172" i="6"/>
  <c r="L156" i="6"/>
  <c r="L62" i="6"/>
  <c r="L78" i="6"/>
  <c r="L81" i="6"/>
  <c r="L92" i="6"/>
  <c r="L19" i="6"/>
  <c r="L371" i="6"/>
  <c r="L218" i="6"/>
  <c r="L418" i="6"/>
  <c r="L69" i="6"/>
  <c r="L70" i="6"/>
  <c r="L173" i="6"/>
  <c r="L93" i="6"/>
  <c r="L566" i="6"/>
  <c r="L632" i="6"/>
  <c r="L8" i="6"/>
  <c r="L87" i="6"/>
  <c r="L148" i="6"/>
  <c r="L644" i="6"/>
  <c r="L722" i="6"/>
  <c r="L187" i="6"/>
  <c r="L599" i="6"/>
  <c r="L114" i="6"/>
  <c r="L719" i="6"/>
  <c r="L520" i="6"/>
  <c r="L318" i="6"/>
  <c r="L490" i="6"/>
  <c r="L36" i="6"/>
  <c r="L63" i="6"/>
  <c r="L60" i="6"/>
  <c r="L276" i="6"/>
  <c r="L709" i="6"/>
  <c r="L611" i="6"/>
  <c r="L268" i="6"/>
  <c r="L71" i="6"/>
  <c r="L9" i="6"/>
  <c r="L21" i="6"/>
  <c r="L54" i="6"/>
  <c r="L103" i="6"/>
  <c r="L188" i="6"/>
  <c r="L567" i="6"/>
  <c r="L10" i="6"/>
  <c r="L251" i="6"/>
  <c r="L37" i="6"/>
  <c r="L385" i="6"/>
  <c r="L673" i="6"/>
  <c r="L335" i="6"/>
  <c r="L426" i="6"/>
  <c r="L64" i="6"/>
  <c r="L491" i="6"/>
  <c r="L126" i="6"/>
  <c r="L219" i="6"/>
  <c r="L419" i="6"/>
  <c r="L127" i="6"/>
  <c r="L501" i="6"/>
  <c r="L459" i="6"/>
  <c r="L535" i="6"/>
  <c r="L687" i="6"/>
  <c r="L380" i="6"/>
  <c r="L381" i="6"/>
  <c r="L310" i="6"/>
  <c r="L249" i="6"/>
  <c r="L458" i="6"/>
  <c r="L269" i="6"/>
  <c r="L128" i="6"/>
  <c r="L637" i="6"/>
  <c r="L710" i="6"/>
  <c r="L163" i="6"/>
  <c r="L124" i="6"/>
  <c r="L207" i="6"/>
  <c r="L25" i="6"/>
  <c r="L405" i="6"/>
  <c r="L104" i="6"/>
  <c r="L149" i="6"/>
  <c r="L633" i="6"/>
  <c r="L452" i="6"/>
  <c r="L425" i="6"/>
  <c r="L568" i="6"/>
  <c r="L651" i="6"/>
  <c r="L548" i="6"/>
  <c r="L434" i="6"/>
  <c r="L372" i="6"/>
  <c r="L136" i="6"/>
  <c r="L645" i="6"/>
  <c r="L43" i="6"/>
  <c r="L20" i="6"/>
  <c r="L492" i="6"/>
  <c r="L165" i="6"/>
  <c r="L723" i="6"/>
  <c r="L220" i="6"/>
  <c r="L386" i="6"/>
  <c r="L481" i="6"/>
  <c r="L221" i="6"/>
  <c r="L253" i="6"/>
  <c r="L699" i="6"/>
  <c r="L210" i="6"/>
  <c r="L654" i="6"/>
  <c r="L467" i="6"/>
  <c r="L596" i="6"/>
  <c r="L594" i="6"/>
  <c r="L406" i="6"/>
  <c r="L628" i="6"/>
  <c r="L435" i="6"/>
  <c r="L164" i="6"/>
  <c r="L569" i="6"/>
  <c r="L319" i="6"/>
  <c r="L189" i="6"/>
  <c r="L138" i="6"/>
  <c r="L493" i="6"/>
  <c r="L59" i="6"/>
  <c r="L157" i="6"/>
  <c r="L570" i="6"/>
  <c r="L222" i="6"/>
  <c r="L453" i="6"/>
  <c r="L536" i="6"/>
  <c r="L373" i="6"/>
  <c r="L345" i="6"/>
  <c r="L543" i="6"/>
  <c r="L137" i="6"/>
  <c r="L588" i="6"/>
  <c r="L111" i="6"/>
  <c r="L460" i="6"/>
  <c r="L494" i="6"/>
  <c r="L474" i="6"/>
  <c r="L495" i="6"/>
  <c r="L584" i="6"/>
  <c r="L336" i="6"/>
  <c r="L32" i="6"/>
  <c r="L674" i="6"/>
  <c r="L391" i="6"/>
  <c r="L496" i="6"/>
  <c r="L174" i="6"/>
  <c r="L537" i="6"/>
  <c r="L26" i="6"/>
  <c r="L190" i="6"/>
  <c r="L14" i="6"/>
  <c r="L166" i="6"/>
  <c r="L420" i="6"/>
  <c r="L160" i="6"/>
  <c r="L344" i="6"/>
  <c r="L450" i="6"/>
  <c r="L601" i="6"/>
  <c r="L191" i="6"/>
  <c r="L112" i="6"/>
  <c r="L337" i="6"/>
  <c r="L602" i="6"/>
  <c r="L571" i="6"/>
  <c r="L296" i="6"/>
  <c r="L348" i="6"/>
  <c r="L192" i="6"/>
  <c r="L502" i="6"/>
  <c r="L105" i="6"/>
  <c r="L224" i="6"/>
  <c r="L115" i="6"/>
  <c r="L44" i="6"/>
  <c r="L200" i="6"/>
  <c r="L470" i="6"/>
  <c r="L38" i="6"/>
  <c r="L374" i="6"/>
  <c r="L116" i="6"/>
  <c r="L407" i="6"/>
  <c r="L270" i="6"/>
  <c r="L724" i="6"/>
  <c r="L603" i="6"/>
  <c r="L558" i="6"/>
  <c r="L250" i="6"/>
  <c r="L646" i="6"/>
  <c r="L382" i="6"/>
  <c r="L360" i="6"/>
  <c r="L82" i="6"/>
  <c r="L421" i="6"/>
  <c r="L297" i="6"/>
  <c r="L445" i="6"/>
  <c r="L72" i="6"/>
  <c r="L655" i="6"/>
  <c r="L139" i="6"/>
  <c r="L634" i="6"/>
  <c r="L725" i="6"/>
  <c r="L55" i="6"/>
  <c r="L550" i="6"/>
  <c r="L175" i="6"/>
  <c r="L94" i="6"/>
  <c r="L193" i="6"/>
  <c r="L141" i="6"/>
  <c r="L489" i="6"/>
  <c r="L106" i="6"/>
  <c r="L150" i="6"/>
  <c r="L194" i="6"/>
  <c r="L729" i="6"/>
  <c r="L538" i="6"/>
  <c r="L604" i="6"/>
  <c r="L327" i="6"/>
  <c r="L446" i="6"/>
  <c r="L461" i="6"/>
  <c r="L211" i="6"/>
  <c r="L581" i="6"/>
  <c r="L279" i="6"/>
  <c r="L649" i="6"/>
  <c r="L572" i="6"/>
  <c r="L3" i="6"/>
  <c r="L551" i="6"/>
  <c r="L16" i="6"/>
  <c r="L475" i="6"/>
  <c r="L107" i="6"/>
  <c r="L212" i="6"/>
  <c r="L254" i="6"/>
  <c r="L612" i="6"/>
  <c r="L488" i="6"/>
  <c r="L195" i="6"/>
  <c r="L638" i="6"/>
  <c r="L370" i="6"/>
  <c r="L225" i="6"/>
  <c r="L255" i="6"/>
  <c r="L711" i="6"/>
  <c r="L573" i="6"/>
  <c r="L675" i="6"/>
  <c r="L349" i="6"/>
  <c r="L482" i="6"/>
  <c r="L304" i="6"/>
  <c r="L142" i="6"/>
  <c r="L422" i="6"/>
  <c r="L574" i="6"/>
  <c r="L129" i="6"/>
  <c r="L264" i="6"/>
  <c r="L387" i="6"/>
  <c r="L328" i="6"/>
  <c r="L280" i="6"/>
  <c r="L667" i="6"/>
  <c r="L483" i="6"/>
  <c r="L117" i="6"/>
  <c r="L39" i="6"/>
  <c r="L718" i="6"/>
  <c r="L590" i="6"/>
  <c r="L288" i="6"/>
  <c r="L298" i="6"/>
  <c r="L320" i="6"/>
  <c r="L151" i="6"/>
  <c r="L271" i="6"/>
  <c r="L31" i="6"/>
  <c r="L656" i="6"/>
  <c r="L299" i="6"/>
  <c r="L556" i="6"/>
  <c r="L158" i="6"/>
  <c r="L696" i="6"/>
  <c r="L202" i="6"/>
  <c r="L639" i="6"/>
  <c r="L65" i="6"/>
  <c r="L167" i="6"/>
  <c r="L321" i="6"/>
  <c r="L613" i="6"/>
  <c r="L575" i="6"/>
  <c r="L361" i="6"/>
  <c r="L256" i="6"/>
  <c r="L427" i="6"/>
  <c r="L329" i="6"/>
  <c r="L300" i="6"/>
  <c r="L657" i="6"/>
  <c r="L45" i="6"/>
  <c r="L676" i="6"/>
  <c r="L289" i="6"/>
  <c r="L27" i="6"/>
  <c r="L423" i="6"/>
  <c r="L281" i="6"/>
  <c r="L685" i="6"/>
  <c r="L143" i="6"/>
  <c r="L521" i="6"/>
  <c r="L301" i="6"/>
  <c r="L176" i="6"/>
  <c r="L416" i="6"/>
  <c r="L261" i="6"/>
  <c r="L277" i="6"/>
  <c r="L693" i="6"/>
  <c r="L322" i="6"/>
  <c r="L436" i="6"/>
  <c r="L408" i="6"/>
  <c r="L350" i="6"/>
  <c r="L323" i="6"/>
  <c r="L700" i="6"/>
  <c r="L688" i="6"/>
  <c r="L15" i="6"/>
  <c r="L333" i="6"/>
  <c r="L95" i="6"/>
  <c r="L11" i="6"/>
  <c r="L437" i="6"/>
  <c r="L383" i="6"/>
  <c r="L506" i="6"/>
  <c r="L395" i="6"/>
  <c r="L305" i="6"/>
  <c r="L226" i="6"/>
  <c r="L647" i="6"/>
  <c r="L544" i="6"/>
  <c r="L227" i="6"/>
  <c r="L503" i="6"/>
  <c r="L522" i="6"/>
  <c r="L552" i="6"/>
  <c r="L409" i="6"/>
  <c r="L338" i="6"/>
  <c r="L177" i="6"/>
  <c r="L689" i="6"/>
  <c r="L311" i="6"/>
  <c r="L46" i="6"/>
  <c r="L553" i="6"/>
  <c r="L356" i="6"/>
  <c r="L677" i="6"/>
  <c r="L196" i="6"/>
  <c r="L47" i="6"/>
  <c r="L152" i="6"/>
  <c r="L228" i="6"/>
  <c r="L712" i="6"/>
  <c r="L229" i="6"/>
  <c r="L48" i="6"/>
  <c r="L411" i="6"/>
  <c r="L272" i="6"/>
  <c r="L312" i="6"/>
  <c r="L339" i="6"/>
  <c r="L362" i="6"/>
  <c r="L73" i="6"/>
  <c r="L88" i="6"/>
  <c r="L658" i="6"/>
  <c r="L5" i="6"/>
  <c r="L497" i="6"/>
  <c r="L576" i="6"/>
  <c r="L577" i="6"/>
  <c r="L629" i="6"/>
  <c r="L230" i="6"/>
  <c r="L614" i="6"/>
  <c r="L663" i="6"/>
  <c r="L363" i="6"/>
  <c r="L388" i="6"/>
  <c r="L89" i="6"/>
  <c r="L659" i="6"/>
  <c r="L523" i="6"/>
  <c r="L231" i="6"/>
  <c r="L340" i="6"/>
  <c r="L171" i="6"/>
  <c r="L232" i="6"/>
  <c r="L233" i="6"/>
  <c r="L234" i="6"/>
  <c r="L90" i="6"/>
  <c r="L324" i="6"/>
  <c r="L713" i="6"/>
  <c r="L714" i="6"/>
  <c r="L108" i="6"/>
  <c r="L66" i="6"/>
  <c r="L284" i="6"/>
  <c r="L524" i="6"/>
  <c r="L635" i="6"/>
  <c r="L545" i="6"/>
  <c r="L539" i="6"/>
  <c r="L396" i="6"/>
  <c r="L235" i="6"/>
  <c r="L507" i="6"/>
  <c r="L578" i="6"/>
  <c r="L118" i="6"/>
  <c r="L640" i="6"/>
  <c r="L197" i="6"/>
  <c r="L273" i="6"/>
  <c r="L313" i="6"/>
  <c r="L546" i="6"/>
  <c r="L260" i="6"/>
  <c r="L605" i="6"/>
  <c r="L508" i="6"/>
  <c r="L74" i="6"/>
  <c r="L236" i="6"/>
  <c r="L290" i="6"/>
  <c r="L615" i="6"/>
  <c r="L325" i="6"/>
  <c r="L668" i="6"/>
  <c r="L140" i="6"/>
  <c r="L56" i="6"/>
  <c r="L462" i="6"/>
  <c r="L364" i="6"/>
  <c r="L678" i="6"/>
  <c r="L428" i="6"/>
  <c r="L498" i="6"/>
  <c r="L213" i="6"/>
  <c r="L96" i="6"/>
  <c r="L302" i="6"/>
  <c r="L429" i="6"/>
  <c r="L509" i="6"/>
  <c r="L547" i="6"/>
  <c r="L306" i="6"/>
  <c r="L375" i="6"/>
  <c r="L79" i="6"/>
  <c r="L22" i="6"/>
  <c r="L681" i="6"/>
  <c r="L679" i="6"/>
  <c r="L40" i="6"/>
  <c r="L692" i="6"/>
  <c r="L28" i="6"/>
  <c r="L285" i="6"/>
  <c r="L282" i="6"/>
  <c r="L516" i="6"/>
  <c r="L540" i="6"/>
  <c r="L389" i="6"/>
  <c r="L690" i="6"/>
  <c r="L237" i="6"/>
  <c r="L456" i="6"/>
  <c r="L579" i="6"/>
  <c r="L41" i="6"/>
  <c r="L159" i="6"/>
  <c r="L365" i="6"/>
  <c r="L238" i="6"/>
  <c r="L178" i="6"/>
  <c r="L720" i="6"/>
  <c r="L469" i="6"/>
  <c r="L630" i="6"/>
  <c r="L4" i="6"/>
  <c r="L259" i="6"/>
  <c r="L463" i="6"/>
  <c r="L616" i="6"/>
  <c r="L393" i="6"/>
  <c r="L464" i="6"/>
  <c r="L49" i="6"/>
  <c r="L291" i="6"/>
  <c r="L130" i="6"/>
  <c r="L465" i="6"/>
  <c r="L447" i="6"/>
  <c r="L179" i="6"/>
  <c r="L86" i="6"/>
  <c r="L476" i="6"/>
  <c r="L203" i="6"/>
  <c r="L85" i="6"/>
  <c r="L484" i="6"/>
  <c r="L660" i="6"/>
  <c r="L351" i="6"/>
  <c r="L517" i="6"/>
  <c r="L239" i="6"/>
  <c r="L726" i="6"/>
  <c r="L180" i="6"/>
  <c r="L390" i="6"/>
  <c r="L292" i="6"/>
  <c r="L591" i="6"/>
  <c r="L580" i="6"/>
  <c r="L410" i="6"/>
  <c r="L18" i="6"/>
  <c r="L398" i="6"/>
  <c r="L146" i="6"/>
  <c r="L307" i="6"/>
  <c r="L293" i="6"/>
  <c r="L442" i="6"/>
  <c r="L518" i="6"/>
  <c r="L123" i="6"/>
  <c r="L204" i="6"/>
  <c r="L525" i="6"/>
  <c r="L83" i="6"/>
  <c r="L541" i="6"/>
  <c r="L526" i="6"/>
  <c r="L33" i="6"/>
  <c r="L585" i="6"/>
  <c r="L397" i="6"/>
  <c r="L240" i="6"/>
  <c r="L617" i="6"/>
  <c r="L131" i="6"/>
  <c r="L241" i="6"/>
  <c r="L454" i="6"/>
  <c r="L555" i="6"/>
  <c r="L715" i="6"/>
  <c r="L618" i="6"/>
  <c r="L242" i="6"/>
  <c r="L701" i="6"/>
  <c r="L625" i="6"/>
  <c r="L412" i="6"/>
  <c r="L559" i="6"/>
  <c r="L144" i="6"/>
  <c r="L510" i="6"/>
  <c r="L697" i="6"/>
  <c r="L438" i="6"/>
  <c r="L399" i="6"/>
  <c r="L97" i="6"/>
  <c r="L181" i="6"/>
  <c r="L184" i="6"/>
  <c r="L439" i="6"/>
  <c r="L341" i="6"/>
  <c r="L485" i="6"/>
  <c r="L109" i="6"/>
  <c r="L542" i="6"/>
  <c r="L243" i="6"/>
  <c r="L626" i="6"/>
  <c r="L244" i="6"/>
  <c r="L702" i="6"/>
  <c r="L50" i="6"/>
  <c r="L619" i="6"/>
  <c r="L12" i="6"/>
  <c r="L471" i="6"/>
  <c r="L691" i="6"/>
  <c r="L620" i="6"/>
  <c r="L727" i="6"/>
  <c r="L245" i="6"/>
  <c r="L621" i="6"/>
  <c r="L680" i="6"/>
  <c r="L514" i="6"/>
  <c r="L430" i="6"/>
  <c r="L527" i="6"/>
  <c r="L477" i="6"/>
  <c r="L413" i="6"/>
  <c r="L622" i="6"/>
  <c r="L623" i="6"/>
  <c r="L34" i="6"/>
  <c r="L592" i="6"/>
  <c r="L67" i="6"/>
  <c r="L532" i="6"/>
  <c r="L664" i="6"/>
  <c r="L98" i="6"/>
  <c r="L593" i="6"/>
  <c r="L448" i="6"/>
  <c r="L376" i="6"/>
  <c r="L511" i="6"/>
  <c r="L246" i="6"/>
  <c r="L315" i="6"/>
  <c r="L352" i="6"/>
  <c r="L51" i="6"/>
  <c r="L424" i="6"/>
  <c r="L57" i="6"/>
  <c r="L53" i="6"/>
  <c r="L717" i="6"/>
  <c r="L145" i="6"/>
  <c r="L294" i="6"/>
  <c r="L257" i="6"/>
  <c r="L13" i="6"/>
  <c r="L247" i="6"/>
  <c r="L182" i="6"/>
  <c r="L58" i="6"/>
  <c r="L99" i="6"/>
  <c r="L648" i="6"/>
  <c r="L504" i="6"/>
  <c r="L554" i="6"/>
  <c r="L366" i="6"/>
  <c r="L353" i="6"/>
  <c r="L455" i="6"/>
  <c r="L683" i="6"/>
  <c r="L706" i="6"/>
  <c r="L119" i="6"/>
  <c r="L367" i="6"/>
  <c r="L480" i="6"/>
  <c r="L400" i="6"/>
  <c r="L274" i="6"/>
  <c r="L342" i="6"/>
  <c r="L100" i="6"/>
  <c r="L472" i="6"/>
  <c r="L652" i="6"/>
  <c r="L223" i="6"/>
  <c r="L586" i="6"/>
  <c r="L343" i="6"/>
  <c r="L377" i="6"/>
  <c r="L132" i="6"/>
  <c r="L486" i="6"/>
  <c r="L378" i="6"/>
  <c r="L198" i="6"/>
  <c r="L449" i="6"/>
  <c r="L316" i="6"/>
  <c r="L330" i="6"/>
  <c r="L110" i="6"/>
  <c r="L466" i="6"/>
  <c r="L401" i="6"/>
  <c r="L703" i="6"/>
  <c r="L515" i="6"/>
  <c r="L331" i="6"/>
  <c r="L468" i="6"/>
  <c r="L147" i="6"/>
  <c r="L665" i="6"/>
  <c r="L52" i="6"/>
  <c r="L528" i="6"/>
  <c r="L75" i="6"/>
  <c r="L368" i="6"/>
  <c r="L583" i="6"/>
  <c r="L661" i="6"/>
  <c r="L529" i="6"/>
  <c r="L76" i="6"/>
  <c r="L666" i="6"/>
  <c r="L624" i="6"/>
  <c r="L669" i="6"/>
  <c r="L84" i="6"/>
  <c r="L530" i="6"/>
  <c r="L168" i="6"/>
  <c r="L414" i="6"/>
  <c r="L205" i="6"/>
  <c r="L531" i="6"/>
  <c r="L275" i="6"/>
  <c r="L369" i="6"/>
  <c r="L560" i="6"/>
  <c r="L670" i="6"/>
  <c r="L77" i="6"/>
  <c r="L326" i="6"/>
  <c r="L384" i="6"/>
  <c r="L91" i="6"/>
  <c r="L357" i="6"/>
  <c r="L716" i="6"/>
  <c r="L248" i="6"/>
  <c r="L379" i="6"/>
  <c r="L169" i="6"/>
  <c r="L214" i="6"/>
  <c r="L153" i="6"/>
  <c r="L120" i="6"/>
  <c r="L653" i="6"/>
  <c r="L512" i="6"/>
  <c r="L513" i="6"/>
  <c r="L561" i="6"/>
  <c r="L283" i="6"/>
  <c r="L682" i="6"/>
  <c r="L295" i="6"/>
  <c r="L479" i="6"/>
  <c r="L440" i="6"/>
  <c r="L121" i="6"/>
  <c r="L499" i="6"/>
  <c r="L170" i="6"/>
  <c r="L704" i="6"/>
  <c r="L354" i="6"/>
  <c r="L606" i="6"/>
  <c r="L587" i="6"/>
  <c r="L698" i="6"/>
  <c r="L728" i="6"/>
  <c r="L684" i="6"/>
  <c r="L487" i="6"/>
  <c r="L441" i="6"/>
  <c r="L68" i="6"/>
  <c r="L183" i="6"/>
  <c r="L101" i="6"/>
  <c r="L597" i="6"/>
  <c r="L662" i="6"/>
  <c r="L206" i="6"/>
  <c r="L443" i="6"/>
  <c r="I36" i="10" l="1"/>
  <c r="F30" i="12" s="1"/>
  <c r="L6" i="14"/>
  <c r="F19" i="12"/>
  <c r="H3" i="12"/>
  <c r="H12" i="12" s="1"/>
  <c r="G3" i="12"/>
  <c r="G12" i="12" s="1"/>
  <c r="H19" i="12"/>
  <c r="M725" i="6"/>
  <c r="M709" i="6"/>
  <c r="M693" i="6"/>
  <c r="M676" i="6"/>
  <c r="M644" i="6"/>
  <c r="M612" i="6"/>
  <c r="M575" i="6"/>
  <c r="M542" i="6"/>
  <c r="M510" i="6"/>
  <c r="M472" i="6"/>
  <c r="M439" i="6"/>
  <c r="M407" i="6"/>
  <c r="M369" i="6"/>
  <c r="M336" i="6"/>
  <c r="M304" i="6"/>
  <c r="M268" i="6"/>
  <c r="M233" i="6"/>
  <c r="M201" i="6"/>
  <c r="M166" i="6"/>
  <c r="M132" i="6"/>
  <c r="M100" i="6"/>
  <c r="M63" i="6"/>
  <c r="M30" i="6"/>
  <c r="H25" i="12"/>
  <c r="M717" i="6"/>
  <c r="M701" i="6"/>
  <c r="M685" i="6"/>
  <c r="M663" i="6"/>
  <c r="M625" i="6"/>
  <c r="M592" i="6"/>
  <c r="M560" i="6"/>
  <c r="M524" i="6"/>
  <c r="M489" i="6"/>
  <c r="M457" i="6"/>
  <c r="M422" i="6"/>
  <c r="M388" i="6"/>
  <c r="M356" i="6"/>
  <c r="M319" i="6"/>
  <c r="M286" i="6"/>
  <c r="M254" i="6"/>
  <c r="M216" i="6"/>
  <c r="M183" i="6"/>
  <c r="M151" i="6"/>
  <c r="M113" i="6"/>
  <c r="M80" i="6"/>
  <c r="M48" i="6"/>
  <c r="M12" i="6"/>
  <c r="M2" i="6"/>
  <c r="M714" i="6"/>
  <c r="M698" i="6"/>
  <c r="M681" i="6"/>
  <c r="M656" i="6"/>
  <c r="M624" i="6"/>
  <c r="M588" i="6"/>
  <c r="M553" i="6"/>
  <c r="M521" i="6"/>
  <c r="M486" i="6"/>
  <c r="M452" i="6"/>
  <c r="M420" i="6"/>
  <c r="M383" i="6"/>
  <c r="M350" i="6"/>
  <c r="M318" i="6"/>
  <c r="M280" i="6"/>
  <c r="M247" i="6"/>
  <c r="M215" i="6"/>
  <c r="M177" i="6"/>
  <c r="M144" i="6"/>
  <c r="M112" i="6"/>
  <c r="M76" i="6"/>
  <c r="M41" i="6"/>
  <c r="M9" i="6"/>
  <c r="F37" i="12"/>
  <c r="F44" i="12" s="1"/>
  <c r="M729" i="6"/>
  <c r="M713" i="6"/>
  <c r="M697" i="6"/>
  <c r="M680" i="6"/>
  <c r="M652" i="6"/>
  <c r="M617" i="6"/>
  <c r="M585" i="6"/>
  <c r="M550" i="6"/>
  <c r="M516" i="6"/>
  <c r="M484" i="6"/>
  <c r="M447" i="6"/>
  <c r="M414" i="6"/>
  <c r="M382" i="6"/>
  <c r="M344" i="6"/>
  <c r="M311" i="6"/>
  <c r="M279" i="6"/>
  <c r="M241" i="6"/>
  <c r="M208" i="6"/>
  <c r="M176" i="6"/>
  <c r="M140" i="6"/>
  <c r="M105" i="6"/>
  <c r="M73" i="6"/>
  <c r="M38" i="6"/>
  <c r="M4" i="6"/>
  <c r="G37" i="12"/>
  <c r="M726" i="6"/>
  <c r="M710" i="6"/>
  <c r="M694" i="6"/>
  <c r="M677" i="6"/>
  <c r="M649" i="6"/>
  <c r="M614" i="6"/>
  <c r="M580" i="6"/>
  <c r="M548" i="6"/>
  <c r="M511" i="6"/>
  <c r="M478" i="6"/>
  <c r="M446" i="6"/>
  <c r="M408" i="6"/>
  <c r="M375" i="6"/>
  <c r="M343" i="6"/>
  <c r="M305" i="6"/>
  <c r="M272" i="6"/>
  <c r="M240" i="6"/>
  <c r="M204" i="6"/>
  <c r="M169" i="6"/>
  <c r="M137" i="6"/>
  <c r="M102" i="6"/>
  <c r="M68" i="6"/>
  <c r="M36" i="6"/>
  <c r="F25" i="12"/>
  <c r="M727" i="6"/>
  <c r="M719" i="6"/>
  <c r="M711" i="6"/>
  <c r="M703" i="6"/>
  <c r="M695" i="6"/>
  <c r="M687" i="6"/>
  <c r="M678" i="6"/>
  <c r="M665" i="6"/>
  <c r="M654" i="6"/>
  <c r="M640" i="6"/>
  <c r="M628" i="6"/>
  <c r="M615" i="6"/>
  <c r="M601" i="6"/>
  <c r="M590" i="6"/>
  <c r="M576" i="6"/>
  <c r="M564" i="6"/>
  <c r="M551" i="6"/>
  <c r="M537" i="6"/>
  <c r="M526" i="6"/>
  <c r="M512" i="6"/>
  <c r="M500" i="6"/>
  <c r="M487" i="6"/>
  <c r="M473" i="6"/>
  <c r="M462" i="6"/>
  <c r="M448" i="6"/>
  <c r="M436" i="6"/>
  <c r="M423" i="6"/>
  <c r="M409" i="6"/>
  <c r="M398" i="6"/>
  <c r="M384" i="6"/>
  <c r="M372" i="6"/>
  <c r="M359" i="6"/>
  <c r="M345" i="6"/>
  <c r="M334" i="6"/>
  <c r="M320" i="6"/>
  <c r="M308" i="6"/>
  <c r="M295" i="6"/>
  <c r="M281" i="6"/>
  <c r="M270" i="6"/>
  <c r="M256" i="6"/>
  <c r="M244" i="6"/>
  <c r="M231" i="6"/>
  <c r="M217" i="6"/>
  <c r="M206" i="6"/>
  <c r="M192" i="6"/>
  <c r="M180" i="6"/>
  <c r="M167" i="6"/>
  <c r="M153" i="6"/>
  <c r="M142" i="6"/>
  <c r="M128" i="6"/>
  <c r="M116" i="6"/>
  <c r="M103" i="6"/>
  <c r="M89" i="6"/>
  <c r="M78" i="6"/>
  <c r="M64" i="6"/>
  <c r="M52" i="6"/>
  <c r="M39" i="6"/>
  <c r="M25" i="6"/>
  <c r="M14" i="6"/>
  <c r="M724" i="6"/>
  <c r="M716" i="6"/>
  <c r="M708" i="6"/>
  <c r="M700" i="6"/>
  <c r="M692" i="6"/>
  <c r="M684" i="6"/>
  <c r="M673" i="6"/>
  <c r="M662" i="6"/>
  <c r="M648" i="6"/>
  <c r="M636" i="6"/>
  <c r="M623" i="6"/>
  <c r="M609" i="6"/>
  <c r="M598" i="6"/>
  <c r="M584" i="6"/>
  <c r="M572" i="6"/>
  <c r="M559" i="6"/>
  <c r="M545" i="6"/>
  <c r="M534" i="6"/>
  <c r="M520" i="6"/>
  <c r="M508" i="6"/>
  <c r="M495" i="6"/>
  <c r="M481" i="6"/>
  <c r="M470" i="6"/>
  <c r="M456" i="6"/>
  <c r="M444" i="6"/>
  <c r="M431" i="6"/>
  <c r="M417" i="6"/>
  <c r="M406" i="6"/>
  <c r="M392" i="6"/>
  <c r="M380" i="6"/>
  <c r="M367" i="6"/>
  <c r="M353" i="6"/>
  <c r="M342" i="6"/>
  <c r="M328" i="6"/>
  <c r="M316" i="6"/>
  <c r="M303" i="6"/>
  <c r="M289" i="6"/>
  <c r="M278" i="6"/>
  <c r="M264" i="6"/>
  <c r="M252" i="6"/>
  <c r="M239" i="6"/>
  <c r="M225" i="6"/>
  <c r="M214" i="6"/>
  <c r="M200" i="6"/>
  <c r="M188" i="6"/>
  <c r="M175" i="6"/>
  <c r="M161" i="6"/>
  <c r="M150" i="6"/>
  <c r="M136" i="6"/>
  <c r="M124" i="6"/>
  <c r="M111" i="6"/>
  <c r="M97" i="6"/>
  <c r="M86" i="6"/>
  <c r="M72" i="6"/>
  <c r="M60" i="6"/>
  <c r="M47" i="6"/>
  <c r="M33" i="6"/>
  <c r="M22" i="6"/>
  <c r="M10" i="6"/>
  <c r="M18" i="6"/>
  <c r="M26" i="6"/>
  <c r="M34" i="6"/>
  <c r="M42" i="6"/>
  <c r="M50" i="6"/>
  <c r="M58" i="6"/>
  <c r="M66" i="6"/>
  <c r="M74" i="6"/>
  <c r="M82" i="6"/>
  <c r="M90" i="6"/>
  <c r="M98" i="6"/>
  <c r="M106" i="6"/>
  <c r="M114" i="6"/>
  <c r="M122" i="6"/>
  <c r="M130" i="6"/>
  <c r="M138" i="6"/>
  <c r="M146" i="6"/>
  <c r="M154" i="6"/>
  <c r="M162" i="6"/>
  <c r="M170" i="6"/>
  <c r="M178" i="6"/>
  <c r="M186" i="6"/>
  <c r="M194" i="6"/>
  <c r="M202" i="6"/>
  <c r="M210" i="6"/>
  <c r="M218" i="6"/>
  <c r="M226" i="6"/>
  <c r="M234" i="6"/>
  <c r="M242" i="6"/>
  <c r="M250" i="6"/>
  <c r="M258" i="6"/>
  <c r="M266" i="6"/>
  <c r="M274" i="6"/>
  <c r="M282" i="6"/>
  <c r="M290" i="6"/>
  <c r="M298" i="6"/>
  <c r="M306" i="6"/>
  <c r="M314" i="6"/>
  <c r="M322" i="6"/>
  <c r="M330" i="6"/>
  <c r="M338" i="6"/>
  <c r="M346" i="6"/>
  <c r="M354" i="6"/>
  <c r="M362" i="6"/>
  <c r="M370" i="6"/>
  <c r="M378" i="6"/>
  <c r="M386" i="6"/>
  <c r="M394" i="6"/>
  <c r="M402" i="6"/>
  <c r="M410" i="6"/>
  <c r="M418" i="6"/>
  <c r="M426" i="6"/>
  <c r="M434" i="6"/>
  <c r="M442" i="6"/>
  <c r="M450" i="6"/>
  <c r="M458" i="6"/>
  <c r="M466" i="6"/>
  <c r="M474" i="6"/>
  <c r="M482" i="6"/>
  <c r="M490" i="6"/>
  <c r="M498" i="6"/>
  <c r="M506" i="6"/>
  <c r="M514" i="6"/>
  <c r="M522" i="6"/>
  <c r="M530" i="6"/>
  <c r="M538" i="6"/>
  <c r="M546" i="6"/>
  <c r="M554" i="6"/>
  <c r="M562" i="6"/>
  <c r="M570" i="6"/>
  <c r="M578" i="6"/>
  <c r="M586" i="6"/>
  <c r="M594" i="6"/>
  <c r="M602" i="6"/>
  <c r="M610" i="6"/>
  <c r="M618" i="6"/>
  <c r="M626" i="6"/>
  <c r="M634" i="6"/>
  <c r="M642" i="6"/>
  <c r="M650" i="6"/>
  <c r="M658" i="6"/>
  <c r="M666" i="6"/>
  <c r="M674" i="6"/>
  <c r="M682" i="6"/>
  <c r="M3" i="6"/>
  <c r="M11" i="6"/>
  <c r="M19" i="6"/>
  <c r="M27" i="6"/>
  <c r="M35" i="6"/>
  <c r="M43" i="6"/>
  <c r="M51" i="6"/>
  <c r="M59" i="6"/>
  <c r="M67" i="6"/>
  <c r="M75" i="6"/>
  <c r="M83" i="6"/>
  <c r="M91" i="6"/>
  <c r="M99" i="6"/>
  <c r="M107" i="6"/>
  <c r="M115" i="6"/>
  <c r="M123" i="6"/>
  <c r="M131" i="6"/>
  <c r="M139" i="6"/>
  <c r="M147" i="6"/>
  <c r="M155" i="6"/>
  <c r="M163" i="6"/>
  <c r="M171" i="6"/>
  <c r="M179" i="6"/>
  <c r="M187" i="6"/>
  <c r="M195" i="6"/>
  <c r="M203" i="6"/>
  <c r="M211" i="6"/>
  <c r="M219" i="6"/>
  <c r="M227" i="6"/>
  <c r="M235" i="6"/>
  <c r="M243" i="6"/>
  <c r="M251" i="6"/>
  <c r="M259" i="6"/>
  <c r="M267" i="6"/>
  <c r="M275" i="6"/>
  <c r="M283" i="6"/>
  <c r="M291" i="6"/>
  <c r="M299" i="6"/>
  <c r="M307" i="6"/>
  <c r="M315" i="6"/>
  <c r="M323" i="6"/>
  <c r="M331" i="6"/>
  <c r="M339" i="6"/>
  <c r="M347" i="6"/>
  <c r="M355" i="6"/>
  <c r="M363" i="6"/>
  <c r="M371" i="6"/>
  <c r="M379" i="6"/>
  <c r="M387" i="6"/>
  <c r="M395" i="6"/>
  <c r="M403" i="6"/>
  <c r="M411" i="6"/>
  <c r="M419" i="6"/>
  <c r="M427" i="6"/>
  <c r="M435" i="6"/>
  <c r="M443" i="6"/>
  <c r="M451" i="6"/>
  <c r="M459" i="6"/>
  <c r="M467" i="6"/>
  <c r="M475" i="6"/>
  <c r="M483" i="6"/>
  <c r="M491" i="6"/>
  <c r="M499" i="6"/>
  <c r="M507" i="6"/>
  <c r="M515" i="6"/>
  <c r="M523" i="6"/>
  <c r="M531" i="6"/>
  <c r="M539" i="6"/>
  <c r="M547" i="6"/>
  <c r="M555" i="6"/>
  <c r="M563" i="6"/>
  <c r="M571" i="6"/>
  <c r="M579" i="6"/>
  <c r="M587" i="6"/>
  <c r="M595" i="6"/>
  <c r="M603" i="6"/>
  <c r="M611" i="6"/>
  <c r="M619" i="6"/>
  <c r="M627" i="6"/>
  <c r="M635" i="6"/>
  <c r="M643" i="6"/>
  <c r="M651" i="6"/>
  <c r="M659" i="6"/>
  <c r="M667" i="6"/>
  <c r="M675" i="6"/>
  <c r="M5" i="6"/>
  <c r="M13" i="6"/>
  <c r="M21" i="6"/>
  <c r="M29" i="6"/>
  <c r="M37" i="6"/>
  <c r="M45" i="6"/>
  <c r="M53" i="6"/>
  <c r="M61" i="6"/>
  <c r="M69" i="6"/>
  <c r="M77" i="6"/>
  <c r="M85" i="6"/>
  <c r="M93" i="6"/>
  <c r="M101" i="6"/>
  <c r="M109" i="6"/>
  <c r="M117" i="6"/>
  <c r="M125" i="6"/>
  <c r="M133" i="6"/>
  <c r="M141" i="6"/>
  <c r="M149" i="6"/>
  <c r="M157" i="6"/>
  <c r="M165" i="6"/>
  <c r="M173" i="6"/>
  <c r="M181" i="6"/>
  <c r="M189" i="6"/>
  <c r="M197" i="6"/>
  <c r="M205" i="6"/>
  <c r="M213" i="6"/>
  <c r="M221" i="6"/>
  <c r="M229" i="6"/>
  <c r="M237" i="6"/>
  <c r="M245" i="6"/>
  <c r="M253" i="6"/>
  <c r="M261" i="6"/>
  <c r="M269" i="6"/>
  <c r="M277" i="6"/>
  <c r="M285" i="6"/>
  <c r="M293" i="6"/>
  <c r="M301" i="6"/>
  <c r="M309" i="6"/>
  <c r="M317" i="6"/>
  <c r="M325" i="6"/>
  <c r="M333" i="6"/>
  <c r="M341" i="6"/>
  <c r="M349" i="6"/>
  <c r="M357" i="6"/>
  <c r="M365" i="6"/>
  <c r="M373" i="6"/>
  <c r="M381" i="6"/>
  <c r="M389" i="6"/>
  <c r="M397" i="6"/>
  <c r="M405" i="6"/>
  <c r="M413" i="6"/>
  <c r="M421" i="6"/>
  <c r="M429" i="6"/>
  <c r="M437" i="6"/>
  <c r="M445" i="6"/>
  <c r="M453" i="6"/>
  <c r="M461" i="6"/>
  <c r="M469" i="6"/>
  <c r="M477" i="6"/>
  <c r="M485" i="6"/>
  <c r="M493" i="6"/>
  <c r="M501" i="6"/>
  <c r="M509" i="6"/>
  <c r="M517" i="6"/>
  <c r="M525" i="6"/>
  <c r="M533" i="6"/>
  <c r="M541" i="6"/>
  <c r="M549" i="6"/>
  <c r="M557" i="6"/>
  <c r="M565" i="6"/>
  <c r="M573" i="6"/>
  <c r="M581" i="6"/>
  <c r="M589" i="6"/>
  <c r="M597" i="6"/>
  <c r="M605" i="6"/>
  <c r="M613" i="6"/>
  <c r="M621" i="6"/>
  <c r="M629" i="6"/>
  <c r="M637" i="6"/>
  <c r="M645" i="6"/>
  <c r="M653" i="6"/>
  <c r="M661" i="6"/>
  <c r="M669" i="6"/>
  <c r="M723" i="6"/>
  <c r="M715" i="6"/>
  <c r="M707" i="6"/>
  <c r="M699" i="6"/>
  <c r="M691" i="6"/>
  <c r="M683" i="6"/>
  <c r="M672" i="6"/>
  <c r="M660" i="6"/>
  <c r="M647" i="6"/>
  <c r="M633" i="6"/>
  <c r="M622" i="6"/>
  <c r="M608" i="6"/>
  <c r="M596" i="6"/>
  <c r="M583" i="6"/>
  <c r="M569" i="6"/>
  <c r="M558" i="6"/>
  <c r="M544" i="6"/>
  <c r="M532" i="6"/>
  <c r="M519" i="6"/>
  <c r="M505" i="6"/>
  <c r="M494" i="6"/>
  <c r="M480" i="6"/>
  <c r="M468" i="6"/>
  <c r="M455" i="6"/>
  <c r="M441" i="6"/>
  <c r="M430" i="6"/>
  <c r="M416" i="6"/>
  <c r="M404" i="6"/>
  <c r="M391" i="6"/>
  <c r="M377" i="6"/>
  <c r="M366" i="6"/>
  <c r="M352" i="6"/>
  <c r="M340" i="6"/>
  <c r="M327" i="6"/>
  <c r="M313" i="6"/>
  <c r="M302" i="6"/>
  <c r="M288" i="6"/>
  <c r="M276" i="6"/>
  <c r="M263" i="6"/>
  <c r="M249" i="6"/>
  <c r="M238" i="6"/>
  <c r="M224" i="6"/>
  <c r="M212" i="6"/>
  <c r="M199" i="6"/>
  <c r="M185" i="6"/>
  <c r="M174" i="6"/>
  <c r="M160" i="6"/>
  <c r="M148" i="6"/>
  <c r="M135" i="6"/>
  <c r="M121" i="6"/>
  <c r="M110" i="6"/>
  <c r="M96" i="6"/>
  <c r="M84" i="6"/>
  <c r="M71" i="6"/>
  <c r="M57" i="6"/>
  <c r="M46" i="6"/>
  <c r="M32" i="6"/>
  <c r="M20" i="6"/>
  <c r="M7" i="6"/>
  <c r="M657" i="6"/>
  <c r="M646" i="6"/>
  <c r="M632" i="6"/>
  <c r="M620" i="6"/>
  <c r="M607" i="6"/>
  <c r="M593" i="6"/>
  <c r="M582" i="6"/>
  <c r="M568" i="6"/>
  <c r="M556" i="6"/>
  <c r="M543" i="6"/>
  <c r="M529" i="6"/>
  <c r="M518" i="6"/>
  <c r="M504" i="6"/>
  <c r="M492" i="6"/>
  <c r="M479" i="6"/>
  <c r="M465" i="6"/>
  <c r="M454" i="6"/>
  <c r="M440" i="6"/>
  <c r="M428" i="6"/>
  <c r="M415" i="6"/>
  <c r="M401" i="6"/>
  <c r="M390" i="6"/>
  <c r="M376" i="6"/>
  <c r="M364" i="6"/>
  <c r="M351" i="6"/>
  <c r="M337" i="6"/>
  <c r="M326" i="6"/>
  <c r="M312" i="6"/>
  <c r="M300" i="6"/>
  <c r="M287" i="6"/>
  <c r="M273" i="6"/>
  <c r="M262" i="6"/>
  <c r="M248" i="6"/>
  <c r="M236" i="6"/>
  <c r="M223" i="6"/>
  <c r="M209" i="6"/>
  <c r="M198" i="6"/>
  <c r="M184" i="6"/>
  <c r="M172" i="6"/>
  <c r="M159" i="6"/>
  <c r="M145" i="6"/>
  <c r="M134" i="6"/>
  <c r="M120" i="6"/>
  <c r="M108" i="6"/>
  <c r="M95" i="6"/>
  <c r="M81" i="6"/>
  <c r="M70" i="6"/>
  <c r="M56" i="6"/>
  <c r="M44" i="6"/>
  <c r="M31" i="6"/>
  <c r="M17" i="6"/>
  <c r="M6" i="6"/>
  <c r="H37" i="12"/>
  <c r="M728" i="6"/>
  <c r="M720" i="6"/>
  <c r="M712" i="6"/>
  <c r="M704" i="6"/>
  <c r="M696" i="6"/>
  <c r="M688" i="6"/>
  <c r="M679" i="6"/>
  <c r="M668" i="6"/>
  <c r="M655" i="6"/>
  <c r="M641" i="6"/>
  <c r="M630" i="6"/>
  <c r="M616" i="6"/>
  <c r="M604" i="6"/>
  <c r="M591" i="6"/>
  <c r="M577" i="6"/>
  <c r="M566" i="6"/>
  <c r="M552" i="6"/>
  <c r="M540" i="6"/>
  <c r="M527" i="6"/>
  <c r="M513" i="6"/>
  <c r="M502" i="6"/>
  <c r="M488" i="6"/>
  <c r="M476" i="6"/>
  <c r="M463" i="6"/>
  <c r="M449" i="6"/>
  <c r="M438" i="6"/>
  <c r="M424" i="6"/>
  <c r="M412" i="6"/>
  <c r="M399" i="6"/>
  <c r="M385" i="6"/>
  <c r="M374" i="6"/>
  <c r="M360" i="6"/>
  <c r="M348" i="6"/>
  <c r="M335" i="6"/>
  <c r="M321" i="6"/>
  <c r="M310" i="6"/>
  <c r="M296" i="6"/>
  <c r="M284" i="6"/>
  <c r="M271" i="6"/>
  <c r="M257" i="6"/>
  <c r="M246" i="6"/>
  <c r="M232" i="6"/>
  <c r="M220" i="6"/>
  <c r="M207" i="6"/>
  <c r="M193" i="6"/>
  <c r="M182" i="6"/>
  <c r="M168" i="6"/>
  <c r="M156" i="6"/>
  <c r="M143" i="6"/>
  <c r="M129" i="6"/>
  <c r="M118" i="6"/>
  <c r="M104" i="6"/>
  <c r="M92" i="6"/>
  <c r="M79" i="6"/>
  <c r="M65" i="6"/>
  <c r="M54" i="6"/>
  <c r="M40" i="6"/>
  <c r="M28" i="6"/>
  <c r="M15" i="6"/>
  <c r="I18" i="10"/>
  <c r="G5" i="13" s="1"/>
  <c r="H5" i="13" s="1"/>
  <c r="F3" i="12"/>
  <c r="F49" i="12"/>
  <c r="I49" i="12"/>
  <c r="H49" i="12"/>
  <c r="G49" i="12"/>
  <c r="G44" i="12"/>
  <c r="I25" i="10"/>
  <c r="G3" i="13" s="1"/>
  <c r="H3" i="13" s="1"/>
  <c r="I26" i="10"/>
  <c r="G6" i="13" s="1"/>
  <c r="H6" i="13" s="1"/>
  <c r="I29" i="10"/>
  <c r="I31" i="10"/>
  <c r="I34" i="10"/>
  <c r="I24" i="10"/>
  <c r="G2" i="13" s="1"/>
  <c r="H2" i="13" s="1"/>
  <c r="I19" i="10"/>
  <c r="G4" i="13" s="1"/>
  <c r="H4" i="13" s="1"/>
  <c r="E2" i="8"/>
  <c r="C11" i="9"/>
  <c r="C16" i="9"/>
  <c r="C19" i="9" s="1"/>
  <c r="C32" i="9"/>
  <c r="C41" i="9"/>
  <c r="C43" i="9" s="1"/>
  <c r="C44" i="9" s="1"/>
  <c r="C50" i="9"/>
  <c r="C51" i="9" s="1"/>
  <c r="C57" i="9"/>
  <c r="C59" i="9" s="1"/>
  <c r="F2" i="8"/>
  <c r="E3" i="8"/>
  <c r="F3" i="8"/>
  <c r="E4" i="8"/>
  <c r="F4" i="8"/>
  <c r="E5" i="8"/>
  <c r="F5" i="8"/>
  <c r="E6" i="8"/>
  <c r="F6" i="8"/>
  <c r="E7" i="8"/>
  <c r="F7" i="8"/>
  <c r="E8" i="8"/>
  <c r="F8" i="8"/>
  <c r="E9" i="8"/>
  <c r="F9" i="8"/>
  <c r="E10" i="8"/>
  <c r="F10" i="8"/>
  <c r="E11" i="8"/>
  <c r="F11" i="8"/>
  <c r="E12" i="8"/>
  <c r="F12" i="8"/>
  <c r="E13" i="8"/>
  <c r="F13" i="8"/>
  <c r="E14" i="8"/>
  <c r="F14" i="8"/>
  <c r="E15" i="8"/>
  <c r="F15" i="8"/>
  <c r="E16" i="8"/>
  <c r="F16" i="8"/>
  <c r="E17" i="8"/>
  <c r="F17" i="8"/>
  <c r="E18" i="8"/>
  <c r="F18" i="8"/>
  <c r="E19" i="8"/>
  <c r="F19" i="8"/>
  <c r="E20" i="8"/>
  <c r="F20" i="8"/>
  <c r="E21" i="8"/>
  <c r="F21" i="8"/>
  <c r="E22" i="8"/>
  <c r="F22" i="8"/>
  <c r="E23" i="8"/>
  <c r="F23" i="8"/>
  <c r="E24" i="8"/>
  <c r="F24" i="8"/>
  <c r="E25" i="8"/>
  <c r="F25" i="8"/>
  <c r="E26" i="8"/>
  <c r="F26" i="8"/>
  <c r="E27" i="8"/>
  <c r="F27" i="8"/>
  <c r="E28" i="8"/>
  <c r="F28" i="8"/>
  <c r="E29" i="8"/>
  <c r="F29" i="8"/>
  <c r="E30" i="8"/>
  <c r="F30" i="8"/>
  <c r="E31" i="8"/>
  <c r="F31" i="8"/>
  <c r="E32" i="8"/>
  <c r="F32" i="8"/>
  <c r="E33" i="8"/>
  <c r="F33" i="8"/>
  <c r="E34" i="8"/>
  <c r="F34" i="8"/>
  <c r="E35" i="8"/>
  <c r="F35" i="8"/>
  <c r="E36" i="8"/>
  <c r="F36" i="8"/>
  <c r="E37" i="8"/>
  <c r="F37" i="8"/>
  <c r="E38" i="8"/>
  <c r="F38" i="8"/>
  <c r="E39" i="8"/>
  <c r="F39" i="8"/>
  <c r="E40" i="8"/>
  <c r="F40" i="8"/>
  <c r="E41" i="8"/>
  <c r="F41" i="8"/>
  <c r="E42" i="8"/>
  <c r="F42" i="8"/>
  <c r="E43" i="8"/>
  <c r="F43" i="8"/>
  <c r="E44" i="8"/>
  <c r="F44" i="8"/>
  <c r="E45" i="8"/>
  <c r="F45" i="8"/>
  <c r="E46" i="8"/>
  <c r="F46" i="8"/>
  <c r="E47" i="8"/>
  <c r="F47" i="8"/>
  <c r="E48" i="8"/>
  <c r="F48" i="8"/>
  <c r="E49" i="8"/>
  <c r="F49" i="8"/>
  <c r="E50" i="8"/>
  <c r="F50" i="8"/>
  <c r="E51" i="8"/>
  <c r="F51" i="8"/>
  <c r="E52" i="8"/>
  <c r="F52" i="8"/>
  <c r="E53" i="8"/>
  <c r="F53" i="8"/>
  <c r="E54" i="8"/>
  <c r="F54" i="8"/>
  <c r="E55" i="8"/>
  <c r="F55" i="8"/>
  <c r="E56" i="8"/>
  <c r="F56" i="8"/>
  <c r="E57" i="8"/>
  <c r="F57" i="8"/>
  <c r="E58" i="8"/>
  <c r="F58" i="8"/>
  <c r="E59" i="8"/>
  <c r="F59" i="8"/>
  <c r="E60" i="8"/>
  <c r="F60" i="8"/>
  <c r="E61" i="8"/>
  <c r="F61" i="8"/>
  <c r="E62" i="8"/>
  <c r="F62" i="8"/>
  <c r="E63" i="8"/>
  <c r="F63" i="8"/>
  <c r="E64" i="8"/>
  <c r="F64" i="8"/>
  <c r="E65" i="8"/>
  <c r="F65" i="8"/>
  <c r="E66" i="8"/>
  <c r="F66" i="8"/>
  <c r="E67" i="8"/>
  <c r="F67" i="8"/>
  <c r="E68" i="8"/>
  <c r="F68" i="8"/>
  <c r="E69" i="8"/>
  <c r="F69" i="8"/>
  <c r="E70" i="8"/>
  <c r="F70" i="8"/>
  <c r="E71" i="8"/>
  <c r="F71" i="8"/>
  <c r="E72" i="8"/>
  <c r="F72" i="8"/>
  <c r="E73" i="8"/>
  <c r="F73" i="8"/>
  <c r="E74" i="8"/>
  <c r="F74" i="8"/>
  <c r="E75" i="8"/>
  <c r="F75" i="8"/>
  <c r="E76" i="8"/>
  <c r="F76" i="8"/>
  <c r="E77" i="8"/>
  <c r="F77" i="8"/>
  <c r="E78" i="8"/>
  <c r="F78" i="8"/>
  <c r="E79" i="8"/>
  <c r="F79" i="8"/>
  <c r="E80" i="8"/>
  <c r="F80" i="8"/>
  <c r="E81" i="8"/>
  <c r="F81" i="8"/>
  <c r="E82" i="8"/>
  <c r="F82" i="8"/>
  <c r="E83" i="8"/>
  <c r="F83" i="8"/>
  <c r="E84" i="8"/>
  <c r="F84" i="8"/>
  <c r="E85" i="8"/>
  <c r="F85" i="8"/>
  <c r="E86" i="8"/>
  <c r="F86" i="8"/>
  <c r="E87" i="8"/>
  <c r="F87" i="8"/>
  <c r="E88" i="8"/>
  <c r="F88" i="8"/>
  <c r="E89" i="8"/>
  <c r="F89" i="8"/>
  <c r="R493" i="6"/>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3" i="2"/>
  <c r="H4" i="2"/>
  <c r="H5" i="2"/>
  <c r="H6" i="2"/>
  <c r="H7" i="2"/>
  <c r="H8" i="2"/>
  <c r="H9" i="2"/>
  <c r="H10" i="2"/>
  <c r="H11" i="2"/>
  <c r="H2" i="2"/>
  <c r="H2"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G30" i="12" l="1"/>
  <c r="H30" i="12"/>
  <c r="I30" i="12"/>
  <c r="H6" i="12"/>
  <c r="H13" i="12" s="1"/>
  <c r="G17" i="12"/>
  <c r="H17" i="12"/>
  <c r="H51" i="8"/>
  <c r="I51" i="8" s="1"/>
  <c r="G51" i="8"/>
  <c r="H43" i="8"/>
  <c r="I43" i="8" s="1"/>
  <c r="G43" i="8"/>
  <c r="H72" i="8"/>
  <c r="I72" i="8" s="1"/>
  <c r="G72" i="8"/>
  <c r="H40" i="8"/>
  <c r="I40" i="8" s="1"/>
  <c r="G40" i="8"/>
  <c r="H32" i="8"/>
  <c r="I32" i="8" s="1"/>
  <c r="G32" i="8"/>
  <c r="H24" i="8"/>
  <c r="I24" i="8" s="1"/>
  <c r="G24" i="8"/>
  <c r="H16" i="8"/>
  <c r="I16" i="8" s="1"/>
  <c r="G16" i="8"/>
  <c r="H85" i="8"/>
  <c r="I85" i="8" s="1"/>
  <c r="G85" i="8"/>
  <c r="H77" i="8"/>
  <c r="I77" i="8" s="1"/>
  <c r="G77" i="8"/>
  <c r="H69" i="8"/>
  <c r="I69" i="8" s="1"/>
  <c r="G69" i="8"/>
  <c r="H61" i="8"/>
  <c r="I61" i="8" s="1"/>
  <c r="G61" i="8"/>
  <c r="H53" i="8"/>
  <c r="I53" i="8" s="1"/>
  <c r="G53" i="8"/>
  <c r="H45" i="8"/>
  <c r="I45" i="8" s="1"/>
  <c r="G45" i="8"/>
  <c r="H37" i="8"/>
  <c r="I37" i="8" s="1"/>
  <c r="G37" i="8"/>
  <c r="H29" i="8"/>
  <c r="I29" i="8" s="1"/>
  <c r="G29" i="8"/>
  <c r="H21" i="8"/>
  <c r="I21" i="8" s="1"/>
  <c r="G21" i="8"/>
  <c r="H13" i="8"/>
  <c r="I13" i="8" s="1"/>
  <c r="G13" i="8"/>
  <c r="H5" i="8"/>
  <c r="I5" i="8" s="1"/>
  <c r="G5" i="8"/>
  <c r="H64" i="8"/>
  <c r="I64" i="8" s="1"/>
  <c r="G64" i="8"/>
  <c r="H56" i="8"/>
  <c r="I56" i="8" s="1"/>
  <c r="G56" i="8"/>
  <c r="H48" i="8"/>
  <c r="I48" i="8" s="1"/>
  <c r="G48" i="8"/>
  <c r="H66" i="8"/>
  <c r="I66" i="8" s="1"/>
  <c r="G66" i="8"/>
  <c r="H58" i="8"/>
  <c r="I58" i="8" s="1"/>
  <c r="G58" i="8"/>
  <c r="H34" i="8"/>
  <c r="I34" i="8" s="1"/>
  <c r="G34" i="8"/>
  <c r="H26" i="8"/>
  <c r="I26" i="8" s="1"/>
  <c r="G26" i="8"/>
  <c r="H18" i="8"/>
  <c r="I18" i="8" s="1"/>
  <c r="G18" i="8"/>
  <c r="H10" i="8"/>
  <c r="I10" i="8" s="1"/>
  <c r="G10" i="8"/>
  <c r="H87" i="8"/>
  <c r="I87" i="8" s="1"/>
  <c r="G87" i="8"/>
  <c r="H79" i="8"/>
  <c r="I79" i="8" s="1"/>
  <c r="G79" i="8"/>
  <c r="H71" i="8"/>
  <c r="I71" i="8" s="1"/>
  <c r="G71" i="8"/>
  <c r="H63" i="8"/>
  <c r="I63" i="8" s="1"/>
  <c r="G63" i="8"/>
  <c r="H55" i="8"/>
  <c r="I55" i="8" s="1"/>
  <c r="G55" i="8"/>
  <c r="H47" i="8"/>
  <c r="I47" i="8" s="1"/>
  <c r="G47" i="8"/>
  <c r="H39" i="8"/>
  <c r="I39" i="8" s="1"/>
  <c r="G39" i="8"/>
  <c r="H31" i="8"/>
  <c r="I31" i="8" s="1"/>
  <c r="G31" i="8"/>
  <c r="H23" i="8"/>
  <c r="I23" i="8" s="1"/>
  <c r="G23" i="8"/>
  <c r="H15" i="8"/>
  <c r="I15" i="8" s="1"/>
  <c r="G15" i="8"/>
  <c r="H83" i="8"/>
  <c r="I83" i="8" s="1"/>
  <c r="G83" i="8"/>
  <c r="H35" i="8"/>
  <c r="I35" i="8" s="1"/>
  <c r="G35" i="8"/>
  <c r="H88" i="8"/>
  <c r="I88" i="8" s="1"/>
  <c r="G88" i="8"/>
  <c r="H74" i="8"/>
  <c r="I74" i="8" s="1"/>
  <c r="G74" i="8"/>
  <c r="H84" i="8"/>
  <c r="I84" i="8" s="1"/>
  <c r="G84" i="8"/>
  <c r="H76" i="8"/>
  <c r="I76" i="8" s="1"/>
  <c r="G76" i="8"/>
  <c r="H68" i="8"/>
  <c r="I68" i="8" s="1"/>
  <c r="G68" i="8"/>
  <c r="H60" i="8"/>
  <c r="I60" i="8" s="1"/>
  <c r="G60" i="8"/>
  <c r="H52" i="8"/>
  <c r="I52" i="8" s="1"/>
  <c r="G52" i="8"/>
  <c r="H44" i="8"/>
  <c r="I44" i="8" s="1"/>
  <c r="G44" i="8"/>
  <c r="H36" i="8"/>
  <c r="I36" i="8" s="1"/>
  <c r="G36" i="8"/>
  <c r="H28" i="8"/>
  <c r="I28" i="8" s="1"/>
  <c r="G28" i="8"/>
  <c r="H20" i="8"/>
  <c r="I20" i="8" s="1"/>
  <c r="G20" i="8"/>
  <c r="H12" i="8"/>
  <c r="I12" i="8" s="1"/>
  <c r="G12" i="8"/>
  <c r="H75" i="8"/>
  <c r="I75" i="8" s="1"/>
  <c r="G75" i="8"/>
  <c r="H67" i="8"/>
  <c r="I67" i="8" s="1"/>
  <c r="G67" i="8"/>
  <c r="H27" i="8"/>
  <c r="I27" i="8" s="1"/>
  <c r="G27" i="8"/>
  <c r="H19" i="8"/>
  <c r="I19" i="8" s="1"/>
  <c r="G19" i="8"/>
  <c r="H11" i="8"/>
  <c r="I11" i="8" s="1"/>
  <c r="G11" i="8"/>
  <c r="H80" i="8"/>
  <c r="I80" i="8" s="1"/>
  <c r="G80" i="8"/>
  <c r="H82" i="8"/>
  <c r="I82" i="8" s="1"/>
  <c r="G82" i="8"/>
  <c r="H42" i="8"/>
  <c r="I42" i="8" s="1"/>
  <c r="G42" i="8"/>
  <c r="H89" i="8"/>
  <c r="I89" i="8" s="1"/>
  <c r="G89" i="8"/>
  <c r="H81" i="8"/>
  <c r="I81" i="8" s="1"/>
  <c r="G81" i="8"/>
  <c r="H73" i="8"/>
  <c r="I73" i="8" s="1"/>
  <c r="G73" i="8"/>
  <c r="H65" i="8"/>
  <c r="I65" i="8" s="1"/>
  <c r="G65" i="8"/>
  <c r="H57" i="8"/>
  <c r="I57" i="8" s="1"/>
  <c r="G57" i="8"/>
  <c r="H49" i="8"/>
  <c r="I49" i="8" s="1"/>
  <c r="G49" i="8"/>
  <c r="H41" i="8"/>
  <c r="I41" i="8" s="1"/>
  <c r="G41" i="8"/>
  <c r="H33" i="8"/>
  <c r="I33" i="8" s="1"/>
  <c r="G33" i="8"/>
  <c r="H25" i="8"/>
  <c r="I25" i="8" s="1"/>
  <c r="G25" i="8"/>
  <c r="H17" i="8"/>
  <c r="I17" i="8" s="1"/>
  <c r="G17" i="8"/>
  <c r="H9" i="8"/>
  <c r="I9" i="8" s="1"/>
  <c r="G9" i="8"/>
  <c r="H59" i="8"/>
  <c r="I59" i="8" s="1"/>
  <c r="G59" i="8"/>
  <c r="H50" i="8"/>
  <c r="I50" i="8" s="1"/>
  <c r="G50" i="8"/>
  <c r="H86" i="8"/>
  <c r="I86" i="8" s="1"/>
  <c r="G86" i="8"/>
  <c r="H78" i="8"/>
  <c r="I78" i="8" s="1"/>
  <c r="G78" i="8"/>
  <c r="H70" i="8"/>
  <c r="I70" i="8" s="1"/>
  <c r="G70" i="8"/>
  <c r="H62" i="8"/>
  <c r="I62" i="8" s="1"/>
  <c r="G62" i="8"/>
  <c r="H54" i="8"/>
  <c r="I54" i="8" s="1"/>
  <c r="G54" i="8"/>
  <c r="H46" i="8"/>
  <c r="I46" i="8" s="1"/>
  <c r="G46" i="8"/>
  <c r="H38" i="8"/>
  <c r="I38" i="8" s="1"/>
  <c r="G38" i="8"/>
  <c r="H30" i="8"/>
  <c r="I30" i="8" s="1"/>
  <c r="G30" i="8"/>
  <c r="H22" i="8"/>
  <c r="I22" i="8" s="1"/>
  <c r="G22" i="8"/>
  <c r="H14" i="8"/>
  <c r="I14" i="8" s="1"/>
  <c r="G14" i="8"/>
  <c r="H8" i="8"/>
  <c r="I8" i="8" s="1"/>
  <c r="G8" i="8"/>
  <c r="H7" i="8"/>
  <c r="I7" i="8" s="1"/>
  <c r="G7" i="8"/>
  <c r="H6" i="8"/>
  <c r="I6" i="8" s="1"/>
  <c r="G6" i="8"/>
  <c r="H4" i="8"/>
  <c r="I4" i="8" s="1"/>
  <c r="G4" i="8"/>
  <c r="H3" i="8"/>
  <c r="I3" i="8" s="1"/>
  <c r="G3" i="8"/>
  <c r="H2" i="8"/>
  <c r="I2" i="8" s="1"/>
  <c r="G2" i="8"/>
  <c r="H44" i="12"/>
  <c r="F11" i="12"/>
  <c r="G11" i="12"/>
  <c r="H11" i="12"/>
  <c r="F10" i="12"/>
  <c r="G10" i="12"/>
  <c r="H10" i="12"/>
  <c r="H8" i="13"/>
  <c r="K6" i="12"/>
  <c r="J6" i="12"/>
  <c r="G6" i="12"/>
  <c r="F6" i="12"/>
  <c r="F13" i="12" s="1"/>
  <c r="H29" i="12"/>
  <c r="I29" i="12"/>
  <c r="F29" i="12"/>
  <c r="G29" i="12"/>
  <c r="G40" i="12"/>
  <c r="F17" i="12"/>
  <c r="H40" i="12"/>
  <c r="I40" i="12"/>
  <c r="F40" i="12"/>
  <c r="G48" i="12"/>
  <c r="H48" i="12"/>
  <c r="I48" i="12"/>
  <c r="F48" i="12"/>
  <c r="H26" i="12" l="1"/>
  <c r="H20" i="12"/>
  <c r="H22" i="12" s="1"/>
  <c r="H7" i="11" s="1"/>
  <c r="G26" i="12"/>
  <c r="G20" i="12"/>
  <c r="G22" i="12" s="1"/>
  <c r="E7" i="11" s="1"/>
  <c r="I54" i="12"/>
  <c r="K7" i="11"/>
  <c r="H9" i="13"/>
  <c r="M7" i="13" s="1"/>
  <c r="H13" i="11"/>
  <c r="E13" i="11"/>
  <c r="K13" i="11"/>
  <c r="G13" i="12"/>
  <c r="N6" i="12"/>
  <c r="F26" i="12"/>
  <c r="F12" i="12"/>
  <c r="F34" i="12" s="1"/>
  <c r="F20" i="12"/>
  <c r="F22" i="12" s="1"/>
  <c r="F35" i="12" s="1"/>
  <c r="H35" i="12" l="1"/>
  <c r="G35" i="12"/>
  <c r="K9" i="11"/>
  <c r="I55" i="12"/>
  <c r="I60" i="12" s="1"/>
  <c r="I58" i="12"/>
  <c r="F38" i="12"/>
  <c r="I59" i="12" l="1"/>
  <c r="F46" i="12"/>
  <c r="F47" i="12" s="1"/>
  <c r="C14" i="9"/>
  <c r="K11" i="11"/>
  <c r="H15" i="13"/>
  <c r="F59" i="12" l="1"/>
  <c r="F58" i="12"/>
  <c r="F60" i="12"/>
  <c r="H34" i="12"/>
  <c r="H38" i="12" s="1"/>
  <c r="H46" i="12" s="1"/>
  <c r="G34" i="12"/>
  <c r="G38" i="12" s="1"/>
  <c r="G46" i="12" s="1"/>
  <c r="G58" i="12" l="1"/>
  <c r="E9" i="11"/>
  <c r="G47" i="12"/>
  <c r="G59" i="12"/>
  <c r="G60" i="12"/>
  <c r="I9" i="11"/>
  <c r="H47" i="12"/>
  <c r="H59" i="12"/>
  <c r="H60" i="12"/>
  <c r="H58" i="12"/>
  <c r="E11" i="11" l="1"/>
  <c r="H11" i="13"/>
  <c r="H12" i="13"/>
  <c r="H14" i="13" s="1"/>
  <c r="H11" i="11"/>
  <c r="M12" i="13" l="1"/>
  <c r="L10" i="13" s="1"/>
  <c r="H14" i="11" s="1"/>
  <c r="M9" i="13"/>
  <c r="H13" i="13"/>
  <c r="M8" i="13" s="1"/>
  <c r="L9" i="13" s="1"/>
  <c r="E14" i="11" s="1"/>
  <c r="H16" i="13"/>
  <c r="M13" i="13" s="1"/>
  <c r="L11" i="13" s="1"/>
  <c r="K14"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Devon Kristiansen</author>
  </authors>
  <commentList>
    <comment ref="A49" authorId="0" shapeId="0" xr:uid="{BADB8577-B68A-4E07-BE58-1BC3BC12BA51}">
      <text>
        <r>
          <rPr>
            <sz val="10"/>
            <color indexed="81"/>
            <rFont val="Tahoma"/>
            <family val="2"/>
          </rPr>
          <t xml:space="preserve">
This value should be the number of households currently connected to the WWTP but are using private wells and in home ion exchange softeners.  In order for the proposed soluion to work, these households must be connected to the centralized drinking water network.</t>
        </r>
        <r>
          <rPr>
            <sz val="9"/>
            <color indexed="81"/>
            <rFont val="Tahoma"/>
            <family val="2"/>
          </rPr>
          <t xml:space="preserve">
</t>
        </r>
      </text>
    </comment>
    <comment ref="A53" authorId="0" shapeId="0" xr:uid="{59C7BC88-F4DD-4A67-A781-0395E981CAEE}">
      <text>
        <r>
          <rPr>
            <sz val="9"/>
            <color indexed="81"/>
            <rFont val="Tahoma"/>
            <family val="2"/>
          </rPr>
          <t xml:space="preserve">
</t>
        </r>
        <r>
          <rPr>
            <b/>
            <sz val="9"/>
            <color indexed="81"/>
            <rFont val="Tahoma"/>
            <family val="2"/>
          </rPr>
          <t>If one industrial producer represents more than 10% of all water treatment fees, see the Ratio analysis tab.</t>
        </r>
      </text>
    </comment>
  </commentList>
</comments>
</file>

<file path=xl/sharedStrings.xml><?xml version="1.0" encoding="utf-8"?>
<sst xmlns="http://schemas.openxmlformats.org/spreadsheetml/2006/main" count="7141" uniqueCount="2579">
  <si>
    <t>**</t>
  </si>
  <si>
    <t>-</t>
  </si>
  <si>
    <t>White Earth CDP, Minnesota</t>
  </si>
  <si>
    <t>Whipholt CDP, Minnesota</t>
  </si>
  <si>
    <t>West Roy Lake CDP, Minnesota</t>
  </si>
  <si>
    <t>Warsaw CDP, Minnesota</t>
  </si>
  <si>
    <t>Vineland CDP, Minnesota</t>
  </si>
  <si>
    <t>Twin Lakes CDP, Minnesota</t>
  </si>
  <si>
    <t>The Ranch CDP, Minnesota</t>
  </si>
  <si>
    <t>The Lakes CDP, Minnesota</t>
  </si>
  <si>
    <t>***</t>
  </si>
  <si>
    <t>Stanchfield CDP, Minnesota</t>
  </si>
  <si>
    <t>South End CDP, Minnesota</t>
  </si>
  <si>
    <t>Soudan CDP, Minnesota</t>
  </si>
  <si>
    <t>Silver Creek CDP, Minnesota</t>
  </si>
  <si>
    <t>Searles CDP, Minnesota</t>
  </si>
  <si>
    <t>St. John's University CDP, Minnesota</t>
  </si>
  <si>
    <t>St. Anthony city (Hennepin and Ramsey Counties), Minnesota</t>
  </si>
  <si>
    <t>Roy Lake CDP, Minnesota</t>
  </si>
  <si>
    <t>Ronneby CDP, Minnesota</t>
  </si>
  <si>
    <t>Riverland CDP, Minnesota</t>
  </si>
  <si>
    <t>Rice Lake CDP, Minnesota</t>
  </si>
  <si>
    <t>Red Lake CDP, Minnesota</t>
  </si>
  <si>
    <t>Redby CDP, Minnesota</t>
  </si>
  <si>
    <t>Ponemah CDP, Minnesota</t>
  </si>
  <si>
    <t>Pine Point CDP, Minnesota</t>
  </si>
  <si>
    <t>Pine Bend CDP, Minnesota</t>
  </si>
  <si>
    <t>Pickwick CDP, Minnesota</t>
  </si>
  <si>
    <t>Osage CDP, Minnesota</t>
  </si>
  <si>
    <t>Nett Lake CDP, Minnesota</t>
  </si>
  <si>
    <t>Naytahwaush CDP, Minnesota</t>
  </si>
  <si>
    <t>Midway CDP, Minnesota</t>
  </si>
  <si>
    <t>Merrifield CDP, Minnesota</t>
  </si>
  <si>
    <t>Martin Lake CDP, Minnesota</t>
  </si>
  <si>
    <t>Marion CDP, Minnesota</t>
  </si>
  <si>
    <t>Mahtowa CDP, Minnesota</t>
  </si>
  <si>
    <t>Mahnomen CDP, Minnesota</t>
  </si>
  <si>
    <t>Lutsen CDP, Minnesota</t>
  </si>
  <si>
    <t>Little Rock CDP, Minnesota</t>
  </si>
  <si>
    <t>Leota CDP, Minnesota</t>
  </si>
  <si>
    <t>Lansing CDP, Minnesota</t>
  </si>
  <si>
    <t>Lake George CDP, Minnesota</t>
  </si>
  <si>
    <t>Knife River CDP, Minnesota</t>
  </si>
  <si>
    <t>Inger CDP, Minnesota</t>
  </si>
  <si>
    <t>Hubbard CDP, Minnesota</t>
  </si>
  <si>
    <t>Homer CDP, Minnesota</t>
  </si>
  <si>
    <t>High Forest CDP, Minnesota</t>
  </si>
  <si>
    <t>Goodland CDP, Minnesota</t>
  </si>
  <si>
    <t>Garden City CDP, Minnesota</t>
  </si>
  <si>
    <t>Frontenac CDP, Minnesota</t>
  </si>
  <si>
    <t>Fish Lake CDP, Minnesota</t>
  </si>
  <si>
    <t>Finland CDP, Minnesota</t>
  </si>
  <si>
    <t>Fairhaven CDP, Minnesota</t>
  </si>
  <si>
    <t>Essig CDP, Minnesota</t>
  </si>
  <si>
    <t>Esko CDP, Minnesota</t>
  </si>
  <si>
    <t>Elbow Lake CDP, Minnesota</t>
  </si>
  <si>
    <t>Ebro CDP, Minnesota</t>
  </si>
  <si>
    <t>Dresbach CDP, Minnesota</t>
  </si>
  <si>
    <t>Crown College CDP, Minnesota</t>
  </si>
  <si>
    <t>Big Lake CDP, Minnesota</t>
  </si>
  <si>
    <t>Beaulieu CDP, Minnesota</t>
  </si>
  <si>
    <t>Ball Club CDP, Minnesota</t>
  </si>
  <si>
    <t>Baker CDP, Minnesota</t>
  </si>
  <si>
    <t>Angle Inlet CDP, Minnesota</t>
  </si>
  <si>
    <t>Pop w poverty status below 150 percent</t>
  </si>
  <si>
    <t>MHI margin of error</t>
  </si>
  <si>
    <t>MHI</t>
  </si>
  <si>
    <t>Total population</t>
  </si>
  <si>
    <t>Total housing units</t>
  </si>
  <si>
    <t>NAME</t>
  </si>
  <si>
    <t xml:space="preserve">Columbus </t>
  </si>
  <si>
    <t>Minnesota Lake</t>
  </si>
  <si>
    <t>Minnesota City</t>
  </si>
  <si>
    <t>Name</t>
  </si>
  <si>
    <t>Net Tax Capacity Levy</t>
  </si>
  <si>
    <t>Taxable Market Value of Real &amp; Personal Property</t>
  </si>
  <si>
    <t>Property Tax Revenues as a Perecent of Full Market Value of Taxable Property</t>
  </si>
  <si>
    <t>Net-Liabilities</t>
  </si>
  <si>
    <t>Overal Net Debt as percent of full market value of taxable property</t>
  </si>
  <si>
    <t>ADA</t>
  </si>
  <si>
    <t>ADAMS</t>
  </si>
  <si>
    <t>ADRIAN</t>
  </si>
  <si>
    <t>AFTON</t>
  </si>
  <si>
    <t>AITKIN</t>
  </si>
  <si>
    <t>AKELEY</t>
  </si>
  <si>
    <t>ALBANY</t>
  </si>
  <si>
    <t>ALBERT LEA</t>
  </si>
  <si>
    <t>ALBERTA</t>
  </si>
  <si>
    <t>ALBERTVILLE</t>
  </si>
  <si>
    <t>ALDEN</t>
  </si>
  <si>
    <t>ALDRICH</t>
  </si>
  <si>
    <t>ALEXANDRIA</t>
  </si>
  <si>
    <t>ALPHA</t>
  </si>
  <si>
    <t>ALTURA</t>
  </si>
  <si>
    <t>ALVARADO</t>
  </si>
  <si>
    <t>AMBOY</t>
  </si>
  <si>
    <t>ANDOVER</t>
  </si>
  <si>
    <t>ANNANDALE</t>
  </si>
  <si>
    <t>ANOKA</t>
  </si>
  <si>
    <t>APPLE VALLEY</t>
  </si>
  <si>
    <t>APPLETON</t>
  </si>
  <si>
    <t>ARCO</t>
  </si>
  <si>
    <t>ARDEN HILLS</t>
  </si>
  <si>
    <t>ARGYLE</t>
  </si>
  <si>
    <t>ARLINGTON</t>
  </si>
  <si>
    <t>ASHBY</t>
  </si>
  <si>
    <t>ASKOV</t>
  </si>
  <si>
    <t>ATWATER</t>
  </si>
  <si>
    <t>AUDUBON</t>
  </si>
  <si>
    <t>AURORA</t>
  </si>
  <si>
    <t>AUSTIN</t>
  </si>
  <si>
    <t>AVOCA</t>
  </si>
  <si>
    <t>AVON</t>
  </si>
  <si>
    <t>BABBITT</t>
  </si>
  <si>
    <t>BACKUS</t>
  </si>
  <si>
    <t>BADGER</t>
  </si>
  <si>
    <t>BAGLEY</t>
  </si>
  <si>
    <t>BALATON</t>
  </si>
  <si>
    <t>BARNESVILLE</t>
  </si>
  <si>
    <t>BARNUM</t>
  </si>
  <si>
    <t>BARRETT</t>
  </si>
  <si>
    <t>BARRY</t>
  </si>
  <si>
    <t>BATTLE LAKE</t>
  </si>
  <si>
    <t>BAUDETTE</t>
  </si>
  <si>
    <t>BAXTER</t>
  </si>
  <si>
    <t>BAYPORT</t>
  </si>
  <si>
    <t>BEARDSLEY</t>
  </si>
  <si>
    <t>BEAVER BAY</t>
  </si>
  <si>
    <t>BEAVER CREEK</t>
  </si>
  <si>
    <t>BECKER</t>
  </si>
  <si>
    <t>BEJOU</t>
  </si>
  <si>
    <t>BELGRADE</t>
  </si>
  <si>
    <t>BELLE PLAINE</t>
  </si>
  <si>
    <t>BELLECHESTER</t>
  </si>
  <si>
    <t>BELLINGHAM</t>
  </si>
  <si>
    <t>BELTRAMI</t>
  </si>
  <si>
    <t>BELVIEW</t>
  </si>
  <si>
    <t>BEMIDJI</t>
  </si>
  <si>
    <t>BENA</t>
  </si>
  <si>
    <t>BENSON</t>
  </si>
  <si>
    <t>BERTHA</t>
  </si>
  <si>
    <t>BETHEL</t>
  </si>
  <si>
    <t>BIG FALLS</t>
  </si>
  <si>
    <t>BIG LAKE</t>
  </si>
  <si>
    <t>BIGELOW</t>
  </si>
  <si>
    <t>BIGFORK</t>
  </si>
  <si>
    <t>BINGHAM LAKE</t>
  </si>
  <si>
    <t>BIRCHWOOD</t>
  </si>
  <si>
    <t>BIRD ISLAND</t>
  </si>
  <si>
    <t>BISCAY</t>
  </si>
  <si>
    <t>BIWABIK</t>
  </si>
  <si>
    <t>BLACKDUCK</t>
  </si>
  <si>
    <t>BLAINE</t>
  </si>
  <si>
    <t>BLOMKEST</t>
  </si>
  <si>
    <t>BLOOMING PRAIRIE</t>
  </si>
  <si>
    <t>BLOOMINGTON</t>
  </si>
  <si>
    <t>BLUE EARTH</t>
  </si>
  <si>
    <t>BLUFFTON</t>
  </si>
  <si>
    <t>BOCK</t>
  </si>
  <si>
    <t>BORUP</t>
  </si>
  <si>
    <t>BOVEY</t>
  </si>
  <si>
    <t>BOWLUS</t>
  </si>
  <si>
    <t>BOY RIVER</t>
  </si>
  <si>
    <t>BOYD</t>
  </si>
  <si>
    <t>BRAHAM</t>
  </si>
  <si>
    <t>BRAINERD</t>
  </si>
  <si>
    <t>BRANDON</t>
  </si>
  <si>
    <t>BRECKENRIDGE</t>
  </si>
  <si>
    <t>BREEZY POINT</t>
  </si>
  <si>
    <t>BREWSTER</t>
  </si>
  <si>
    <t>BRICELYN</t>
  </si>
  <si>
    <t>BROOK PARK</t>
  </si>
  <si>
    <t>BROOKLYN CENTER</t>
  </si>
  <si>
    <t>BROOKLYN PARK</t>
  </si>
  <si>
    <t>BROOKS</t>
  </si>
  <si>
    <t>BROOKSTON</t>
  </si>
  <si>
    <t>BROOTEN</t>
  </si>
  <si>
    <t>BROWERVILLE</t>
  </si>
  <si>
    <t>BROWNS VALLEY</t>
  </si>
  <si>
    <t>BROWNSDALE</t>
  </si>
  <si>
    <t>BROWNSVILLE</t>
  </si>
  <si>
    <t>BROWNTON</t>
  </si>
  <si>
    <t>BRUNO</t>
  </si>
  <si>
    <t>BUCKMAN</t>
  </si>
  <si>
    <t>BUFFALO</t>
  </si>
  <si>
    <t>BUFFALO LAKE</t>
  </si>
  <si>
    <t>BUHL</t>
  </si>
  <si>
    <t>BURNSVILLE</t>
  </si>
  <si>
    <t>BURTRUM</t>
  </si>
  <si>
    <t>BUTTERFIELD</t>
  </si>
  <si>
    <t>BYRON</t>
  </si>
  <si>
    <t>CALEDONIA</t>
  </si>
  <si>
    <t>CALLAWAY</t>
  </si>
  <si>
    <t>CALUMET</t>
  </si>
  <si>
    <t>CAMBRIDGE</t>
  </si>
  <si>
    <t>CAMPBELL</t>
  </si>
  <si>
    <t>CANBY</t>
  </si>
  <si>
    <t>CANNON FALLS</t>
  </si>
  <si>
    <t>CANTON</t>
  </si>
  <si>
    <t>CARLOS</t>
  </si>
  <si>
    <t>CARLTON</t>
  </si>
  <si>
    <t>CARVER</t>
  </si>
  <si>
    <t>CASS LAKE</t>
  </si>
  <si>
    <t>CEDAR MILLS</t>
  </si>
  <si>
    <t>CENTER CITY</t>
  </si>
  <si>
    <t>CENTERVILLE</t>
  </si>
  <si>
    <t>CEYLON</t>
  </si>
  <si>
    <t>CHAMPLIN</t>
  </si>
  <si>
    <t>CHANDLER</t>
  </si>
  <si>
    <t>CHANHASSEN</t>
  </si>
  <si>
    <t>CHASKA</t>
  </si>
  <si>
    <t>CHATFIELD</t>
  </si>
  <si>
    <t>CHICKAMAW BEACH</t>
  </si>
  <si>
    <t>CHISAGO CITY</t>
  </si>
  <si>
    <t>CHISHOLM</t>
  </si>
  <si>
    <t>CHOKIO</t>
  </si>
  <si>
    <t>CIRCLE PINES CITY</t>
  </si>
  <si>
    <t>CLARA CITY</t>
  </si>
  <si>
    <t>CLAREMONT</t>
  </si>
  <si>
    <t>CLARISSA</t>
  </si>
  <si>
    <t>CLARKFIELD</t>
  </si>
  <si>
    <t>CLARKS GROVE</t>
  </si>
  <si>
    <t>CLEAR LAKE</t>
  </si>
  <si>
    <t>CLEARBROOK</t>
  </si>
  <si>
    <t>CLEARWATER</t>
  </si>
  <si>
    <t>CLEMENTS</t>
  </si>
  <si>
    <t>CLEVELAND</t>
  </si>
  <si>
    <t>CLIMAX</t>
  </si>
  <si>
    <t>CLINTON</t>
  </si>
  <si>
    <t>CLITHERALL</t>
  </si>
  <si>
    <t>CLONTARF</t>
  </si>
  <si>
    <t>CLOQUET</t>
  </si>
  <si>
    <t>COATES</t>
  </si>
  <si>
    <t>COBDEN</t>
  </si>
  <si>
    <t>COHASSET</t>
  </si>
  <si>
    <t>COKATO</t>
  </si>
  <si>
    <t>COLD SPRING</t>
  </si>
  <si>
    <t>COLERAINE</t>
  </si>
  <si>
    <t>COLOGNE</t>
  </si>
  <si>
    <t>COLUMBIA HEIGHTS</t>
  </si>
  <si>
    <t>COLUMBUS</t>
  </si>
  <si>
    <t>COMFREY</t>
  </si>
  <si>
    <t>COMSTOCK</t>
  </si>
  <si>
    <t>CONGER</t>
  </si>
  <si>
    <t>COOK</t>
  </si>
  <si>
    <t>COON RAPIDS</t>
  </si>
  <si>
    <t>CORCORAN</t>
  </si>
  <si>
    <t>CORRELL</t>
  </si>
  <si>
    <t>COSMOS</t>
  </si>
  <si>
    <t>COTTAGE GROVE</t>
  </si>
  <si>
    <t>COTTONWOOD</t>
  </si>
  <si>
    <t>COURTLAND</t>
  </si>
  <si>
    <t>CROMWELL</t>
  </si>
  <si>
    <t>CROOKSTON</t>
  </si>
  <si>
    <t>CROSBY</t>
  </si>
  <si>
    <t>CROSSLAKE</t>
  </si>
  <si>
    <t>CRYSTAL</t>
  </si>
  <si>
    <t>CURRIE</t>
  </si>
  <si>
    <t>CUYUNA</t>
  </si>
  <si>
    <t>CYRUS</t>
  </si>
  <si>
    <t>DAKOTA</t>
  </si>
  <si>
    <t>DALTON</t>
  </si>
  <si>
    <t>DANUBE</t>
  </si>
  <si>
    <t>DANVERS</t>
  </si>
  <si>
    <t>DARFUR</t>
  </si>
  <si>
    <t>DARWIN</t>
  </si>
  <si>
    <t>DASSEL</t>
  </si>
  <si>
    <t>DAWSON</t>
  </si>
  <si>
    <t>DAYTON</t>
  </si>
  <si>
    <t>DEEPHAVEN</t>
  </si>
  <si>
    <t>DEER CREEK</t>
  </si>
  <si>
    <t>DEER RIVER</t>
  </si>
  <si>
    <t>DEERWOOD</t>
  </si>
  <si>
    <t>DEGRAFF</t>
  </si>
  <si>
    <t>DELANO</t>
  </si>
  <si>
    <t>DELAVAN</t>
  </si>
  <si>
    <t>DELHI</t>
  </si>
  <si>
    <t>DELLWOOD</t>
  </si>
  <si>
    <t>DENHAM</t>
  </si>
  <si>
    <t>DENNISON</t>
  </si>
  <si>
    <t>DENT</t>
  </si>
  <si>
    <t>DETROIT LAKES</t>
  </si>
  <si>
    <t>DEXTER</t>
  </si>
  <si>
    <t>DILWORTH</t>
  </si>
  <si>
    <t>DODGE CENTER</t>
  </si>
  <si>
    <t>DONALDSON</t>
  </si>
  <si>
    <t>DONNELLY</t>
  </si>
  <si>
    <t>DORAN</t>
  </si>
  <si>
    <t>DOVER</t>
  </si>
  <si>
    <t>DOVRAY</t>
  </si>
  <si>
    <t>DULUTH</t>
  </si>
  <si>
    <t>DUMONT</t>
  </si>
  <si>
    <t>DUNDAS</t>
  </si>
  <si>
    <t>DUNDEE</t>
  </si>
  <si>
    <t>DUNNELL</t>
  </si>
  <si>
    <t>EAGAN</t>
  </si>
  <si>
    <t>EAGLE BEND</t>
  </si>
  <si>
    <t>EAGLE LAKE</t>
  </si>
  <si>
    <t>EAST BETHEL</t>
  </si>
  <si>
    <t>EAST GRAND FORKS</t>
  </si>
  <si>
    <t>EAST GULL LAKE</t>
  </si>
  <si>
    <t>EASTON</t>
  </si>
  <si>
    <t>ECHO</t>
  </si>
  <si>
    <t>EDEN PRAIRIE</t>
  </si>
  <si>
    <t>EDEN VALLEY</t>
  </si>
  <si>
    <t>EDGERTON</t>
  </si>
  <si>
    <t>EDINA</t>
  </si>
  <si>
    <t>EFFIE</t>
  </si>
  <si>
    <t>EITZEN</t>
  </si>
  <si>
    <t>ELBA</t>
  </si>
  <si>
    <t>ELBOW LAKE</t>
  </si>
  <si>
    <t>ELGIN</t>
  </si>
  <si>
    <t>ELIZABETH</t>
  </si>
  <si>
    <t>ELK RIVER</t>
  </si>
  <si>
    <t>ELKO NEW MARKET</t>
  </si>
  <si>
    <t>ELKTON</t>
  </si>
  <si>
    <t>ELLENDALE</t>
  </si>
  <si>
    <t>ELLSWORTH</t>
  </si>
  <si>
    <t>ELMDALE</t>
  </si>
  <si>
    <t>ELMORE</t>
  </si>
  <si>
    <t>ELROSA</t>
  </si>
  <si>
    <t>ELY</t>
  </si>
  <si>
    <t>ELYSIAN</t>
  </si>
  <si>
    <t>EMILY</t>
  </si>
  <si>
    <t>EMMONS</t>
  </si>
  <si>
    <t>ERHARD</t>
  </si>
  <si>
    <t>ERSKINE</t>
  </si>
  <si>
    <t>EVAN</t>
  </si>
  <si>
    <t>EVANSVILLE</t>
  </si>
  <si>
    <t>EVELETH</t>
  </si>
  <si>
    <t>EXCELSIOR</t>
  </si>
  <si>
    <t>EYOTA</t>
  </si>
  <si>
    <t>FAIRFAX</t>
  </si>
  <si>
    <t>FAIRMONT</t>
  </si>
  <si>
    <t>FALCON HEIGHTS</t>
  </si>
  <si>
    <t>FARIBAULT</t>
  </si>
  <si>
    <t>FARMINGTON</t>
  </si>
  <si>
    <t>FARWELL</t>
  </si>
  <si>
    <t>FEDERAL DAM</t>
  </si>
  <si>
    <t>FELTON</t>
  </si>
  <si>
    <t>FERGUS FALLS</t>
  </si>
  <si>
    <t>FERTILE</t>
  </si>
  <si>
    <t>FIFTY LAKES</t>
  </si>
  <si>
    <t>FINLAYSON</t>
  </si>
  <si>
    <t>FISHER</t>
  </si>
  <si>
    <t>FLENSBURG</t>
  </si>
  <si>
    <t>FLOODWOOD</t>
  </si>
  <si>
    <t>FLORENCE</t>
  </si>
  <si>
    <t>FOLEY</t>
  </si>
  <si>
    <t>FORADA</t>
  </si>
  <si>
    <t>FOREST LAKE</t>
  </si>
  <si>
    <t>FORESTON</t>
  </si>
  <si>
    <t>FORT RIPLEY</t>
  </si>
  <si>
    <t>FOSSTON</t>
  </si>
  <si>
    <t>FOUNTAIN</t>
  </si>
  <si>
    <t>FOXHOME</t>
  </si>
  <si>
    <t>FRANKLIN</t>
  </si>
  <si>
    <t>FRAZEE</t>
  </si>
  <si>
    <t>FREEBORN</t>
  </si>
  <si>
    <t>FREEPORT</t>
  </si>
  <si>
    <t>FRIDLEY</t>
  </si>
  <si>
    <t>FROST</t>
  </si>
  <si>
    <t>FULDA</t>
  </si>
  <si>
    <t>FUNKLEY</t>
  </si>
  <si>
    <t>GARFIELD</t>
  </si>
  <si>
    <t>GARRISON</t>
  </si>
  <si>
    <t>GARVIN</t>
  </si>
  <si>
    <t>GARY</t>
  </si>
  <si>
    <t>GAYLORD</t>
  </si>
  <si>
    <t>GEM LAKE</t>
  </si>
  <si>
    <t>GENEVA</t>
  </si>
  <si>
    <t>GENOLA</t>
  </si>
  <si>
    <t>GEORGETOWN</t>
  </si>
  <si>
    <t>GHENT</t>
  </si>
  <si>
    <t>GIBBON</t>
  </si>
  <si>
    <t>GILBERT</t>
  </si>
  <si>
    <t>GILMAN</t>
  </si>
  <si>
    <t>GLENCOE</t>
  </si>
  <si>
    <t>GLENVILLE</t>
  </si>
  <si>
    <t>GLENWOOD</t>
  </si>
  <si>
    <t>GLYNDON</t>
  </si>
  <si>
    <t>GOLDEN VALLEY</t>
  </si>
  <si>
    <t>GONVICK</t>
  </si>
  <si>
    <t>GOOD THUNDER</t>
  </si>
  <si>
    <t>GOODHUE</t>
  </si>
  <si>
    <t>GOODRIDGE</t>
  </si>
  <si>
    <t>GOODVIEW</t>
  </si>
  <si>
    <t>GRACEVILLE</t>
  </si>
  <si>
    <t>GRANADA</t>
  </si>
  <si>
    <t>GRAND MARAIS</t>
  </si>
  <si>
    <t>GRAND MEADOW</t>
  </si>
  <si>
    <t>GRAND RAPIDS</t>
  </si>
  <si>
    <t>GRANITE FALLS</t>
  </si>
  <si>
    <t>GRANT</t>
  </si>
  <si>
    <t>GRASSTON</t>
  </si>
  <si>
    <t>GREEN ISLE</t>
  </si>
  <si>
    <t>GREENBUSH</t>
  </si>
  <si>
    <t>GREENFIELD</t>
  </si>
  <si>
    <t>GREENWALD</t>
  </si>
  <si>
    <t>GREENWOOD</t>
  </si>
  <si>
    <t>GREY EAGLE</t>
  </si>
  <si>
    <t>GROVE CITY</t>
  </si>
  <si>
    <t>GRYGLA</t>
  </si>
  <si>
    <t>GULLY</t>
  </si>
  <si>
    <t>HACKENSACK</t>
  </si>
  <si>
    <t>HADLEY</t>
  </si>
  <si>
    <t>HALLOCK</t>
  </si>
  <si>
    <t>HALMA</t>
  </si>
  <si>
    <t>HALSTAD</t>
  </si>
  <si>
    <t>HAM LAKE</t>
  </si>
  <si>
    <t>HAMBURG</t>
  </si>
  <si>
    <t>HAMMOND</t>
  </si>
  <si>
    <t>HAMPTON</t>
  </si>
  <si>
    <t>HANCOCK</t>
  </si>
  <si>
    <t>HANLEY FALLS</t>
  </si>
  <si>
    <t>HANOVER</t>
  </si>
  <si>
    <t>HANSKA</t>
  </si>
  <si>
    <t>HARDING</t>
  </si>
  <si>
    <t>HARDWICK</t>
  </si>
  <si>
    <t>HARMONY</t>
  </si>
  <si>
    <t>HARRIS</t>
  </si>
  <si>
    <t>HARTLAND</t>
  </si>
  <si>
    <t>HASTINGS</t>
  </si>
  <si>
    <t>HATFIELD</t>
  </si>
  <si>
    <t>HAWLEY</t>
  </si>
  <si>
    <t>HAYFIELD</t>
  </si>
  <si>
    <t>HAYWARD</t>
  </si>
  <si>
    <t>HAZEL RUN</t>
  </si>
  <si>
    <t>HECTOR</t>
  </si>
  <si>
    <t>HEIDELBERG</t>
  </si>
  <si>
    <t>HENDERSON</t>
  </si>
  <si>
    <t>HENDRICKS</t>
  </si>
  <si>
    <t>HENDRUM</t>
  </si>
  <si>
    <t>HENNING</t>
  </si>
  <si>
    <t>HENRIETTE</t>
  </si>
  <si>
    <t>HERMAN</t>
  </si>
  <si>
    <t>HERMANTOWN</t>
  </si>
  <si>
    <t>HERON LAKE</t>
  </si>
  <si>
    <t>HEWITT</t>
  </si>
  <si>
    <t>HIBBING</t>
  </si>
  <si>
    <t>HILL CITY</t>
  </si>
  <si>
    <t>HILLMAN</t>
  </si>
  <si>
    <t>HILLS</t>
  </si>
  <si>
    <t>HILLTOP</t>
  </si>
  <si>
    <t>HINCKLEY</t>
  </si>
  <si>
    <t>HITTERDAL</t>
  </si>
  <si>
    <t>HOFFMAN</t>
  </si>
  <si>
    <t>HOKAH</t>
  </si>
  <si>
    <t>HOLDINGFORD</t>
  </si>
  <si>
    <t>HOLLAND</t>
  </si>
  <si>
    <t>HOLLANDALE</t>
  </si>
  <si>
    <t>HOLLOWAY</t>
  </si>
  <si>
    <t>HOLT</t>
  </si>
  <si>
    <t>HOPKINS</t>
  </si>
  <si>
    <t>HOUSTON</t>
  </si>
  <si>
    <t>HOWARD LAKE</t>
  </si>
  <si>
    <t>HOYT LAKES</t>
  </si>
  <si>
    <t>HUGO</t>
  </si>
  <si>
    <t>HUMBOLDT</t>
  </si>
  <si>
    <t>HUTCHINSON</t>
  </si>
  <si>
    <t>IHLEN</t>
  </si>
  <si>
    <t>INDEPENDENCE</t>
  </si>
  <si>
    <t>INTERNATIONAL FALLS</t>
  </si>
  <si>
    <t>INVER GROVE HEIGHTS</t>
  </si>
  <si>
    <t>IONA</t>
  </si>
  <si>
    <t>IRON JUNCTION</t>
  </si>
  <si>
    <t>IRONTON</t>
  </si>
  <si>
    <t>ISANTI</t>
  </si>
  <si>
    <t>ISLE</t>
  </si>
  <si>
    <t>IVANHOE</t>
  </si>
  <si>
    <t>JACKSON</t>
  </si>
  <si>
    <t>JANESVILLE</t>
  </si>
  <si>
    <t>JASPER</t>
  </si>
  <si>
    <t>JEFFERS</t>
  </si>
  <si>
    <t>JENKINS</t>
  </si>
  <si>
    <t>JOHNSON</t>
  </si>
  <si>
    <t>JORDAN</t>
  </si>
  <si>
    <t>KANDIYOHI</t>
  </si>
  <si>
    <t>KARLSTAD</t>
  </si>
  <si>
    <t>KASOTA</t>
  </si>
  <si>
    <t>KASSON</t>
  </si>
  <si>
    <t>KEEWATIN</t>
  </si>
  <si>
    <t>KELLIHER</t>
  </si>
  <si>
    <t>KELLOGG</t>
  </si>
  <si>
    <t>KENNEDY</t>
  </si>
  <si>
    <t>KENNETH</t>
  </si>
  <si>
    <t>KENSINGTON</t>
  </si>
  <si>
    <t>KENT</t>
  </si>
  <si>
    <t>KENYON</t>
  </si>
  <si>
    <t>KERKHOVEN</t>
  </si>
  <si>
    <t>KERRICK</t>
  </si>
  <si>
    <t>KETTLE RIVER</t>
  </si>
  <si>
    <t>KIESTER</t>
  </si>
  <si>
    <t>KILKENNY</t>
  </si>
  <si>
    <t>KIMBALL</t>
  </si>
  <si>
    <t>KINBRAE</t>
  </si>
  <si>
    <t>KINGSTON</t>
  </si>
  <si>
    <t>KINNEY</t>
  </si>
  <si>
    <t>LA CRESCENT</t>
  </si>
  <si>
    <t>LA SALLE</t>
  </si>
  <si>
    <t>LAFAYETTE</t>
  </si>
  <si>
    <t>LAKE BENTON</t>
  </si>
  <si>
    <t>LAKE BRONSON</t>
  </si>
  <si>
    <t>LAKE CITY</t>
  </si>
  <si>
    <t>LAKE CRYSTAL</t>
  </si>
  <si>
    <t>LAKE ELMO</t>
  </si>
  <si>
    <t>LAKE HENRY</t>
  </si>
  <si>
    <t>LAKE LILLIAN</t>
  </si>
  <si>
    <t>LAKE PARK</t>
  </si>
  <si>
    <t>LAKE SAINT CROIX BEACH</t>
  </si>
  <si>
    <t>LAKE SHORE</t>
  </si>
  <si>
    <t>LAKE WILSON</t>
  </si>
  <si>
    <t>LAKEFIELD</t>
  </si>
  <si>
    <t>LAKELAND</t>
  </si>
  <si>
    <t>LAKELAND SHORE</t>
  </si>
  <si>
    <t>LAKEVILLE</t>
  </si>
  <si>
    <t>LAMBERTON</t>
  </si>
  <si>
    <t>LANCASTER</t>
  </si>
  <si>
    <t>LANDFALL</t>
  </si>
  <si>
    <t>LANESBORO</t>
  </si>
  <si>
    <t>LAPORTE</t>
  </si>
  <si>
    <t>LAPRAIRIE</t>
  </si>
  <si>
    <t>LASTRUP</t>
  </si>
  <si>
    <t>LAUDERDALE</t>
  </si>
  <si>
    <t>LE CENTER</t>
  </si>
  <si>
    <t>LE SUEUR</t>
  </si>
  <si>
    <t>LENGBY</t>
  </si>
  <si>
    <t>LEONARD</t>
  </si>
  <si>
    <t>LEONIDAS</t>
  </si>
  <si>
    <t>LEROY</t>
  </si>
  <si>
    <t>LESTER PRAIRIE</t>
  </si>
  <si>
    <t>LEWISTON</t>
  </si>
  <si>
    <t>LEWISVILLE</t>
  </si>
  <si>
    <t>LEXINGTON</t>
  </si>
  <si>
    <t>LILYDALE</t>
  </si>
  <si>
    <t>LINDSTROM</t>
  </si>
  <si>
    <t>LINO LAKES</t>
  </si>
  <si>
    <t>LISMORE</t>
  </si>
  <si>
    <t>LITCHFIELD</t>
  </si>
  <si>
    <t>LITTLE CANADA</t>
  </si>
  <si>
    <t>LITTLE FALLS</t>
  </si>
  <si>
    <t>LITTLEFORK</t>
  </si>
  <si>
    <t>LONG BEACH</t>
  </si>
  <si>
    <t>LONG LAKE</t>
  </si>
  <si>
    <t>LONG PRAIRIE</t>
  </si>
  <si>
    <t>LONGVILLE</t>
  </si>
  <si>
    <t>LONSDALE</t>
  </si>
  <si>
    <t>LORETTO</t>
  </si>
  <si>
    <t>LOUISBURG</t>
  </si>
  <si>
    <t>LOWRY</t>
  </si>
  <si>
    <t>LUCAN</t>
  </si>
  <si>
    <t>LUVERNE</t>
  </si>
  <si>
    <t>LYLE</t>
  </si>
  <si>
    <t>LYND</t>
  </si>
  <si>
    <t>MABEL</t>
  </si>
  <si>
    <t>MADELIA</t>
  </si>
  <si>
    <t>MADISON</t>
  </si>
  <si>
    <t>MADISON LAKE</t>
  </si>
  <si>
    <t>MAGNOLIA</t>
  </si>
  <si>
    <t>MAHNOMEN</t>
  </si>
  <si>
    <t>MAHTOMEDI</t>
  </si>
  <si>
    <t>MANCHESTER</t>
  </si>
  <si>
    <t>MANHATTAN BEACH</t>
  </si>
  <si>
    <t>MANKATO</t>
  </si>
  <si>
    <t>MANTORVILLE</t>
  </si>
  <si>
    <t>MAPLE GROVE</t>
  </si>
  <si>
    <t>MAPLE LAKE</t>
  </si>
  <si>
    <t>MAPLE PLAIN</t>
  </si>
  <si>
    <t>MAPLETON</t>
  </si>
  <si>
    <t>MAPLEVIEW</t>
  </si>
  <si>
    <t>MAPLEWOOD</t>
  </si>
  <si>
    <t>MARBLE</t>
  </si>
  <si>
    <t>MARIETTA</t>
  </si>
  <si>
    <t>MARINE-ON-SAINT CROIX</t>
  </si>
  <si>
    <t>MARSHALL</t>
  </si>
  <si>
    <t>MAYER</t>
  </si>
  <si>
    <t>MAYNARD</t>
  </si>
  <si>
    <t>MAZEPPA</t>
  </si>
  <si>
    <t>MCGRATH</t>
  </si>
  <si>
    <t>MCGREGOR</t>
  </si>
  <si>
    <t>MCINTOSH</t>
  </si>
  <si>
    <t>MCKINLEY</t>
  </si>
  <si>
    <t>MEADOWLANDS</t>
  </si>
  <si>
    <t>MEDFORD</t>
  </si>
  <si>
    <t>MEDICINE LAKE</t>
  </si>
  <si>
    <t>MEDINA</t>
  </si>
  <si>
    <t>MEIRE GROVE</t>
  </si>
  <si>
    <t>MELROSE</t>
  </si>
  <si>
    <t>MENAHGA</t>
  </si>
  <si>
    <t>MENDOTA</t>
  </si>
  <si>
    <t>MENDOTA HEIGHTS</t>
  </si>
  <si>
    <t>MENTOR</t>
  </si>
  <si>
    <t>MIDDLE RIVER</t>
  </si>
  <si>
    <t>MIESVILLE</t>
  </si>
  <si>
    <t>MILACA</t>
  </si>
  <si>
    <t>MILAN</t>
  </si>
  <si>
    <t>MILLERVILLE</t>
  </si>
  <si>
    <t>MILLVILLE</t>
  </si>
  <si>
    <t>MILROY</t>
  </si>
  <si>
    <t>MILTONA</t>
  </si>
  <si>
    <t>MINNEAPOLIS</t>
  </si>
  <si>
    <t>MINNEISKA</t>
  </si>
  <si>
    <t>MINNEOTA</t>
  </si>
  <si>
    <t>MINNESOTA CITY</t>
  </si>
  <si>
    <t>MINNESOTA LAKE</t>
  </si>
  <si>
    <t>MINNETONKA</t>
  </si>
  <si>
    <t>MINNETONKA BEACH</t>
  </si>
  <si>
    <t>MINNETRISTA</t>
  </si>
  <si>
    <t>MIZPAH</t>
  </si>
  <si>
    <t>MONTEVIDEO</t>
  </si>
  <si>
    <t>MONTGOMERY</t>
  </si>
  <si>
    <t>MONTICELLO</t>
  </si>
  <si>
    <t>MONTROSE</t>
  </si>
  <si>
    <t>MOORHEAD</t>
  </si>
  <si>
    <t>MOOSE LAKE</t>
  </si>
  <si>
    <t>MORA</t>
  </si>
  <si>
    <t>MORGAN</t>
  </si>
  <si>
    <t>MORRIS</t>
  </si>
  <si>
    <t>MORRISTOWN</t>
  </si>
  <si>
    <t>MORTON</t>
  </si>
  <si>
    <t>MOTLEY</t>
  </si>
  <si>
    <t>MOUND</t>
  </si>
  <si>
    <t>MOUNDS VIEW</t>
  </si>
  <si>
    <t>MOUNTAIN IRON</t>
  </si>
  <si>
    <t>MOUNTAIN LAKE</t>
  </si>
  <si>
    <t>MURDOCK</t>
  </si>
  <si>
    <t>MYRTLE</t>
  </si>
  <si>
    <t>NASHUA</t>
  </si>
  <si>
    <t>NASHWAUK</t>
  </si>
  <si>
    <t>NASSAU</t>
  </si>
  <si>
    <t>NELSON</t>
  </si>
  <si>
    <t>NERSTRAND</t>
  </si>
  <si>
    <t>NEVIS</t>
  </si>
  <si>
    <t>NEW AUBURN</t>
  </si>
  <si>
    <t>NEW BRIGHTON</t>
  </si>
  <si>
    <t>NEW GERMANY</t>
  </si>
  <si>
    <t>NEW HOPE</t>
  </si>
  <si>
    <t>NEW LONDON</t>
  </si>
  <si>
    <t>NEW MUNICH</t>
  </si>
  <si>
    <t>NEW PRAGUE</t>
  </si>
  <si>
    <t>NEW RICHLAND</t>
  </si>
  <si>
    <t>NEW TRIER</t>
  </si>
  <si>
    <t>NEW ULM</t>
  </si>
  <si>
    <t>NEW YORK MILLS</t>
  </si>
  <si>
    <t>NEWFOLDEN</t>
  </si>
  <si>
    <t>NEWPORT</t>
  </si>
  <si>
    <t>NICOLLET</t>
  </si>
  <si>
    <t>NIELSVILLE</t>
  </si>
  <si>
    <t>NIMROD VILLAGE OF</t>
  </si>
  <si>
    <t>NISSWA</t>
  </si>
  <si>
    <t>NORCROSS</t>
  </si>
  <si>
    <t>NORTH BRANCH</t>
  </si>
  <si>
    <t>NORTH MANKATO</t>
  </si>
  <si>
    <t>NORTH OAKS</t>
  </si>
  <si>
    <t>NORTH SAINT PAUL</t>
  </si>
  <si>
    <t>NORTHFIELD</t>
  </si>
  <si>
    <t>NORTHOME</t>
  </si>
  <si>
    <t>NORTHROP</t>
  </si>
  <si>
    <t>NORWOOD YOUNG AMERICA</t>
  </si>
  <si>
    <t>NOWTHEN</t>
  </si>
  <si>
    <t>OAK GROVE</t>
  </si>
  <si>
    <t>OAK PARK HEIGHTS</t>
  </si>
  <si>
    <t>OAKDALE</t>
  </si>
  <si>
    <t>ODESSA</t>
  </si>
  <si>
    <t>ODIN</t>
  </si>
  <si>
    <t>OGEMA</t>
  </si>
  <si>
    <t>OGILVIE</t>
  </si>
  <si>
    <t>OKABENA</t>
  </si>
  <si>
    <t>OKLEE</t>
  </si>
  <si>
    <t>OLIVIA</t>
  </si>
  <si>
    <t>ONAMIA</t>
  </si>
  <si>
    <t>ORMSBY</t>
  </si>
  <si>
    <t>ORONO</t>
  </si>
  <si>
    <t>ORONOCO</t>
  </si>
  <si>
    <t>ORR</t>
  </si>
  <si>
    <t>ORTONVILLE</t>
  </si>
  <si>
    <t>OSAKIS</t>
  </si>
  <si>
    <t>OSLO</t>
  </si>
  <si>
    <t>OSSEO</t>
  </si>
  <si>
    <t>OSTRANDER</t>
  </si>
  <si>
    <t>OTSEGO</t>
  </si>
  <si>
    <t>OTTERTAIL</t>
  </si>
  <si>
    <t>OWATONNA</t>
  </si>
  <si>
    <t>PALISADE</t>
  </si>
  <si>
    <t>PARK RAPIDS</t>
  </si>
  <si>
    <t>PARKERS PRAIRIE</t>
  </si>
  <si>
    <t>PAYNESVILLE</t>
  </si>
  <si>
    <t>PEASE</t>
  </si>
  <si>
    <t>PELICAN RAPIDS</t>
  </si>
  <si>
    <t>PEMBERTON</t>
  </si>
  <si>
    <t>PENNOCK</t>
  </si>
  <si>
    <t>PEQUOT LAKES</t>
  </si>
  <si>
    <t>PERHAM</t>
  </si>
  <si>
    <t>PERLEY</t>
  </si>
  <si>
    <t>PETERSON</t>
  </si>
  <si>
    <t>PIERZ</t>
  </si>
  <si>
    <t>PILLAGER</t>
  </si>
  <si>
    <t>PINE CITY</t>
  </si>
  <si>
    <t>PINE ISLAND</t>
  </si>
  <si>
    <t>PINE RIVER</t>
  </si>
  <si>
    <t>PINE SPRINGS</t>
  </si>
  <si>
    <t>PIPESTONE</t>
  </si>
  <si>
    <t>PLAINVIEW</t>
  </si>
  <si>
    <t>PLATO</t>
  </si>
  <si>
    <t>PLUMMER</t>
  </si>
  <si>
    <t>PLYMOUTH</t>
  </si>
  <si>
    <t>PORTER</t>
  </si>
  <si>
    <t>PRESTON</t>
  </si>
  <si>
    <t>PRINCETON</t>
  </si>
  <si>
    <t>PRINSBURG</t>
  </si>
  <si>
    <t>PRIOR LAKE</t>
  </si>
  <si>
    <t>PROCTOR</t>
  </si>
  <si>
    <t>QUAMBA</t>
  </si>
  <si>
    <t>RACINE</t>
  </si>
  <si>
    <t>RAMSEY</t>
  </si>
  <si>
    <t>RANDALL</t>
  </si>
  <si>
    <t>RANDOLPH</t>
  </si>
  <si>
    <t>RANIER</t>
  </si>
  <si>
    <t>RAYMOND</t>
  </si>
  <si>
    <t>RED LAKE FALLS</t>
  </si>
  <si>
    <t>RED WING</t>
  </si>
  <si>
    <t>REDWOOD FALLS</t>
  </si>
  <si>
    <t>REGAL</t>
  </si>
  <si>
    <t>REMER</t>
  </si>
  <si>
    <t>RENVILLE</t>
  </si>
  <si>
    <t>REVERE</t>
  </si>
  <si>
    <t>RICE</t>
  </si>
  <si>
    <t>RICE LAKE</t>
  </si>
  <si>
    <t>RICHFIELD</t>
  </si>
  <si>
    <t>RICHMOND</t>
  </si>
  <si>
    <t>RICHVILLE</t>
  </si>
  <si>
    <t>RIVERTON</t>
  </si>
  <si>
    <t>ROBBINSDALE</t>
  </si>
  <si>
    <t>ROCHESTER</t>
  </si>
  <si>
    <t>ROCK CREEK</t>
  </si>
  <si>
    <t>ROCKFORD</t>
  </si>
  <si>
    <t>ROCKVILLE</t>
  </si>
  <si>
    <t>ROGERS</t>
  </si>
  <si>
    <t>ROLLINGSTONE</t>
  </si>
  <si>
    <t>ROOSEVELT</t>
  </si>
  <si>
    <t>ROSCOE</t>
  </si>
  <si>
    <t>ROSE CREEK</t>
  </si>
  <si>
    <t>ROSEAU</t>
  </si>
  <si>
    <t>ROSEMOUNT</t>
  </si>
  <si>
    <t>ROSEVILLE</t>
  </si>
  <si>
    <t>ROTHSAY</t>
  </si>
  <si>
    <t>ROUND LAKE</t>
  </si>
  <si>
    <t>ROYALTON</t>
  </si>
  <si>
    <t>RUSH CITY</t>
  </si>
  <si>
    <t>RUSHFORD</t>
  </si>
  <si>
    <t>RUSHFORD VILLAGE</t>
  </si>
  <si>
    <t>RUSHMORE</t>
  </si>
  <si>
    <t>RUSSELL</t>
  </si>
  <si>
    <t>RUTHTON</t>
  </si>
  <si>
    <t>RUTLEDGE</t>
  </si>
  <si>
    <t>SABIN</t>
  </si>
  <si>
    <t>SACRED HEART</t>
  </si>
  <si>
    <t>SAINT ANTHONY</t>
  </si>
  <si>
    <t>SAINT AUGUSTA</t>
  </si>
  <si>
    <t>SAINT BONIFACIUS</t>
  </si>
  <si>
    <t>SAINT CHARLES</t>
  </si>
  <si>
    <t>SAINT CLOUD</t>
  </si>
  <si>
    <t>SAINT HILAIRE</t>
  </si>
  <si>
    <t>SAINT JAMES</t>
  </si>
  <si>
    <t>SAINT JOSEPH</t>
  </si>
  <si>
    <t>SAINT LEO</t>
  </si>
  <si>
    <t>SAINT LOUIS PARK</t>
  </si>
  <si>
    <t>SAINT MARTIN</t>
  </si>
  <si>
    <t>SAINT MARYS POINT</t>
  </si>
  <si>
    <t>SAINT MICHAEL</t>
  </si>
  <si>
    <t>SAINT PAUL</t>
  </si>
  <si>
    <t>SAINT PAUL PARK</t>
  </si>
  <si>
    <t>SAINT PETER</t>
  </si>
  <si>
    <t>SAINT ROSA</t>
  </si>
  <si>
    <t>SAINT STEPHEN</t>
  </si>
  <si>
    <t>SAINT VINCENT</t>
  </si>
  <si>
    <t>SANBORN</t>
  </si>
  <si>
    <t>SANDSTONE</t>
  </si>
  <si>
    <t>SARGEANT</t>
  </si>
  <si>
    <t>SARTELL</t>
  </si>
  <si>
    <t>SAUK CENTRE</t>
  </si>
  <si>
    <t>SAUK RAPIDS</t>
  </si>
  <si>
    <t>SAVAGE</t>
  </si>
  <si>
    <t>SCANDIA</t>
  </si>
  <si>
    <t>SCANLON</t>
  </si>
  <si>
    <t>SEAFORTH</t>
  </si>
  <si>
    <t>SEBEKA</t>
  </si>
  <si>
    <t>SEDAN</t>
  </si>
  <si>
    <t>SHAFER</t>
  </si>
  <si>
    <t>SHAKOPEE</t>
  </si>
  <si>
    <t>SHELLY</t>
  </si>
  <si>
    <t>SHERBURN</t>
  </si>
  <si>
    <t>SHEVLIN</t>
  </si>
  <si>
    <t>SHOREVIEW</t>
  </si>
  <si>
    <t>SHOREWOOD</t>
  </si>
  <si>
    <t>SILVER BAY</t>
  </si>
  <si>
    <t>SILVER LAKE</t>
  </si>
  <si>
    <t>SKYLINE</t>
  </si>
  <si>
    <t>SLAYTON</t>
  </si>
  <si>
    <t>SLEEPY EYE</t>
  </si>
  <si>
    <t>SOBIESKI</t>
  </si>
  <si>
    <t>SOLWAY</t>
  </si>
  <si>
    <t>SOUTH HAVEN</t>
  </si>
  <si>
    <t>SOUTH SAINT PAUL</t>
  </si>
  <si>
    <t>SPICER</t>
  </si>
  <si>
    <t>SPRING GROVE</t>
  </si>
  <si>
    <t>SPRING HILL</t>
  </si>
  <si>
    <t>SPRING LAKE PARK</t>
  </si>
  <si>
    <t>SPRING PARK</t>
  </si>
  <si>
    <t>SPRING VALLEY</t>
  </si>
  <si>
    <t>SPRINGFIELD</t>
  </si>
  <si>
    <t>SQUAW LAKE</t>
  </si>
  <si>
    <t>ST CLAIR</t>
  </si>
  <si>
    <t>ST FRANCIS</t>
  </si>
  <si>
    <t>STACY</t>
  </si>
  <si>
    <t>STAPLES</t>
  </si>
  <si>
    <t>STARBUCK</t>
  </si>
  <si>
    <t>STEEN</t>
  </si>
  <si>
    <t>STEPHEN</t>
  </si>
  <si>
    <t>STEWART</t>
  </si>
  <si>
    <t>STEWARTVILLE</t>
  </si>
  <si>
    <t>STILLWATER</t>
  </si>
  <si>
    <t>STOCKTON</t>
  </si>
  <si>
    <t>STORDEN</t>
  </si>
  <si>
    <t>STRANDQUIST</t>
  </si>
  <si>
    <t>STRATHCONA</t>
  </si>
  <si>
    <t>STURGEON LAKE</t>
  </si>
  <si>
    <t>SUNBURG</t>
  </si>
  <si>
    <t>SUNFISH LAKE</t>
  </si>
  <si>
    <t>SWANVILLE</t>
  </si>
  <si>
    <t>TACONITE</t>
  </si>
  <si>
    <t>TAMARACK</t>
  </si>
  <si>
    <t>TAOPI</t>
  </si>
  <si>
    <t>TAUNTON</t>
  </si>
  <si>
    <t>TAYLORS FALLS</t>
  </si>
  <si>
    <t>TENSTRIKE</t>
  </si>
  <si>
    <t>THIEF RIVER FALLS</t>
  </si>
  <si>
    <t>TINTAH</t>
  </si>
  <si>
    <t>TONKA BAY</t>
  </si>
  <si>
    <t>TOWER</t>
  </si>
  <si>
    <t>TRACY</t>
  </si>
  <si>
    <t>TRAIL</t>
  </si>
  <si>
    <t>TRIMONT</t>
  </si>
  <si>
    <t>TROMMALD</t>
  </si>
  <si>
    <t>TROSKY</t>
  </si>
  <si>
    <t>TRUMAN</t>
  </si>
  <si>
    <t>TURTLE RIVER</t>
  </si>
  <si>
    <t>TWIN LAKES</t>
  </si>
  <si>
    <t>TWIN VALLEY</t>
  </si>
  <si>
    <t>TWO HARBORS</t>
  </si>
  <si>
    <t>TYLER</t>
  </si>
  <si>
    <t>ULEN</t>
  </si>
  <si>
    <t>UNDERWOOD</t>
  </si>
  <si>
    <t>UPSALA</t>
  </si>
  <si>
    <t>URBANK</t>
  </si>
  <si>
    <t>UTICA</t>
  </si>
  <si>
    <t>VADNAIS HEIGHTS</t>
  </si>
  <si>
    <t>VERGAS</t>
  </si>
  <si>
    <t>VERMILLION</t>
  </si>
  <si>
    <t>VERNDALE</t>
  </si>
  <si>
    <t>VERNON CENTER</t>
  </si>
  <si>
    <t>VESTA</t>
  </si>
  <si>
    <t>VICTORIA</t>
  </si>
  <si>
    <t>VIKING</t>
  </si>
  <si>
    <t>VILLARD</t>
  </si>
  <si>
    <t>VINING</t>
  </si>
  <si>
    <t>VIRGINIA</t>
  </si>
  <si>
    <t>WABASHA</t>
  </si>
  <si>
    <t>WABASSO</t>
  </si>
  <si>
    <t>WACONIA</t>
  </si>
  <si>
    <t>WADENA</t>
  </si>
  <si>
    <t>WAHKON</t>
  </si>
  <si>
    <t>WAITE PARK</t>
  </si>
  <si>
    <t>WALDORF</t>
  </si>
  <si>
    <t>WALKER</t>
  </si>
  <si>
    <t>WALNUT GROVE</t>
  </si>
  <si>
    <t>WALTERS</t>
  </si>
  <si>
    <t>WALTHAM</t>
  </si>
  <si>
    <t>WANAMINGO</t>
  </si>
  <si>
    <t>WANDA</t>
  </si>
  <si>
    <t>WARBA</t>
  </si>
  <si>
    <t>WARREN</t>
  </si>
  <si>
    <t>WARROAD</t>
  </si>
  <si>
    <t>WASECA</t>
  </si>
  <si>
    <t>WATERTOWN</t>
  </si>
  <si>
    <t>WATERVILLE</t>
  </si>
  <si>
    <t>WATKINS</t>
  </si>
  <si>
    <t>WATSON</t>
  </si>
  <si>
    <t>WAUBUN</t>
  </si>
  <si>
    <t>WAVERLY</t>
  </si>
  <si>
    <t>WAYZATA</t>
  </si>
  <si>
    <t>WELCOME</t>
  </si>
  <si>
    <t>WELLS</t>
  </si>
  <si>
    <t>WENDELL</t>
  </si>
  <si>
    <t>WEST CONCORD</t>
  </si>
  <si>
    <t>WEST SAINT PAUL</t>
  </si>
  <si>
    <t>WEST UNION</t>
  </si>
  <si>
    <t>WESTBROOK</t>
  </si>
  <si>
    <t>WESTPORT</t>
  </si>
  <si>
    <t>WHALAN</t>
  </si>
  <si>
    <t>WHEATON</t>
  </si>
  <si>
    <t>WHITE BEAR LAKE</t>
  </si>
  <si>
    <t>WILDER</t>
  </si>
  <si>
    <t>WILLERNIE</t>
  </si>
  <si>
    <t>WILLIAMS</t>
  </si>
  <si>
    <t>WILLMAR</t>
  </si>
  <si>
    <t>WILLOW RIVER</t>
  </si>
  <si>
    <t>WILMONT</t>
  </si>
  <si>
    <t>WILTON</t>
  </si>
  <si>
    <t>WINDOM</t>
  </si>
  <si>
    <t>WINGER</t>
  </si>
  <si>
    <t>WINNEBAGO</t>
  </si>
  <si>
    <t>WINONA</t>
  </si>
  <si>
    <t>WINSTED</t>
  </si>
  <si>
    <t>WINTHROP</t>
  </si>
  <si>
    <t>WINTON</t>
  </si>
  <si>
    <t>WOLF LAKE</t>
  </si>
  <si>
    <t>WOLVERTON</t>
  </si>
  <si>
    <t>WOOD LAKE</t>
  </si>
  <si>
    <t>WOODBURY</t>
  </si>
  <si>
    <t>WOODLAND</t>
  </si>
  <si>
    <t>WOODSTOCK</t>
  </si>
  <si>
    <t>WORTHINGTON</t>
  </si>
  <si>
    <t>WRENSHALL</t>
  </si>
  <si>
    <t>WRIGHT</t>
  </si>
  <si>
    <t>WYKOFF</t>
  </si>
  <si>
    <t>WYOMING</t>
  </si>
  <si>
    <t>ZEMPLE</t>
  </si>
  <si>
    <t>ZIMMERMAN</t>
  </si>
  <si>
    <t>ZUMBRO FALLS</t>
  </si>
  <si>
    <t>ZUMBROTA</t>
  </si>
  <si>
    <t>S&amp;P Bond Rating</t>
  </si>
  <si>
    <t>Category Ranking</t>
  </si>
  <si>
    <t>Rating Ranking</t>
  </si>
  <si>
    <t>S&amp;P Bond Outlook</t>
  </si>
  <si>
    <t>Debt - gen obligation</t>
  </si>
  <si>
    <t>Tax Capacity</t>
  </si>
  <si>
    <t>A+</t>
  </si>
  <si>
    <t>Stable</t>
  </si>
  <si>
    <t>Unranked</t>
  </si>
  <si>
    <t>NA</t>
  </si>
  <si>
    <t>AA+</t>
  </si>
  <si>
    <t>AA-</t>
  </si>
  <si>
    <t>AA</t>
  </si>
  <si>
    <t>AAA</t>
  </si>
  <si>
    <t>A-</t>
  </si>
  <si>
    <t>A</t>
  </si>
  <si>
    <t>B+</t>
  </si>
  <si>
    <t>BB</t>
  </si>
  <si>
    <t>Negative</t>
  </si>
  <si>
    <t>BBB-</t>
  </si>
  <si>
    <t>BBB+</t>
  </si>
  <si>
    <t>Description</t>
  </si>
  <si>
    <t>Rating</t>
  </si>
  <si>
    <t>No Ranking</t>
  </si>
  <si>
    <t>Prime</t>
  </si>
  <si>
    <t>High Grade</t>
  </si>
  <si>
    <t>Upper Medium Grade</t>
  </si>
  <si>
    <t>Lower Medium Grade</t>
  </si>
  <si>
    <t>BBB</t>
  </si>
  <si>
    <t>Non-Investment Grade Speculative</t>
  </si>
  <si>
    <t>BB+</t>
  </si>
  <si>
    <t>BB-</t>
  </si>
  <si>
    <t>Highly Speculative</t>
  </si>
  <si>
    <t>B</t>
  </si>
  <si>
    <t>B-</t>
  </si>
  <si>
    <t>Facility</t>
  </si>
  <si>
    <t>Sewer miles</t>
  </si>
  <si>
    <t>Operating Expenses</t>
  </si>
  <si>
    <t>Population</t>
  </si>
  <si>
    <t>Adams WWTP</t>
  </si>
  <si>
    <t>Adams</t>
  </si>
  <si>
    <t>Adrian WWTP</t>
  </si>
  <si>
    <t>Adrian</t>
  </si>
  <si>
    <t>Albert Lea WWTP</t>
  </si>
  <si>
    <t>Albert Lea</t>
  </si>
  <si>
    <t>Albertville WWTP</t>
  </si>
  <si>
    <t>Albertville</t>
  </si>
  <si>
    <t>Alexandria Lakes Area Sanitary District</t>
  </si>
  <si>
    <t>Alexandria</t>
  </si>
  <si>
    <t>Altura WWTP</t>
  </si>
  <si>
    <t>Altura</t>
  </si>
  <si>
    <t>Alvarado WWTP</t>
  </si>
  <si>
    <t>Alvarado</t>
  </si>
  <si>
    <t>Amboy WWTP</t>
  </si>
  <si>
    <t>Amboy</t>
  </si>
  <si>
    <t>Appleton WWTP</t>
  </si>
  <si>
    <t>Appleton</t>
  </si>
  <si>
    <t>Arlington WWTP</t>
  </si>
  <si>
    <t>Arlington</t>
  </si>
  <si>
    <t>Ashby WWTP</t>
  </si>
  <si>
    <t>Ashby</t>
  </si>
  <si>
    <t>Aurora WWTP</t>
  </si>
  <si>
    <t>Aurora</t>
  </si>
  <si>
    <t>Austin WWTP</t>
  </si>
  <si>
    <t>Austin</t>
  </si>
  <si>
    <t>Avon WWTP</t>
  </si>
  <si>
    <t>Avon</t>
  </si>
  <si>
    <t>Barnesville WWTP</t>
  </si>
  <si>
    <t>Barnesville</t>
  </si>
  <si>
    <t>Bel Clare Estates WWTP</t>
  </si>
  <si>
    <t>St. Cloud</t>
  </si>
  <si>
    <t>Benson WWTP</t>
  </si>
  <si>
    <t>Benson</t>
  </si>
  <si>
    <t>Blooming Prairie WWTP</t>
  </si>
  <si>
    <t>Blooming Prairie</t>
  </si>
  <si>
    <t>Blue Earth WWTP</t>
  </si>
  <si>
    <t>Blue Earth</t>
  </si>
  <si>
    <t>Braham WWTP</t>
  </si>
  <si>
    <t>Braham</t>
  </si>
  <si>
    <t>Brewster WWTP</t>
  </si>
  <si>
    <t>Brewster</t>
  </si>
  <si>
    <t>Buffalo WWTP</t>
  </si>
  <si>
    <t>Buffalo</t>
  </si>
  <si>
    <t>Caledonia WWTP</t>
  </si>
  <si>
    <t>Caledonia</t>
  </si>
  <si>
    <t>Canton WWTP</t>
  </si>
  <si>
    <t>Canton</t>
  </si>
  <si>
    <t>Central Iron Range Sanitary Sewer District WWTP</t>
  </si>
  <si>
    <t>Chisholm</t>
  </si>
  <si>
    <t>Clara City WWTP</t>
  </si>
  <si>
    <t>Clara City</t>
  </si>
  <si>
    <t>Claremont WWTP</t>
  </si>
  <si>
    <t>Claremont</t>
  </si>
  <si>
    <t>Cold Spring WWTP</t>
  </si>
  <si>
    <t>Cold Spring</t>
  </si>
  <si>
    <t>Dalton WWTP</t>
  </si>
  <si>
    <t>Dalton</t>
  </si>
  <si>
    <t>Dawson WWTP</t>
  </si>
  <si>
    <t>Dawson</t>
  </si>
  <si>
    <t>Delhi WWTP</t>
  </si>
  <si>
    <t>Delhi</t>
  </si>
  <si>
    <t>Detroit Lakes WWTP</t>
  </si>
  <si>
    <t>Detroit Lakes</t>
  </si>
  <si>
    <t>Dodge Center WWTP</t>
  </si>
  <si>
    <t>Dodge Center</t>
  </si>
  <si>
    <t>Eagleton WWTP</t>
  </si>
  <si>
    <t>Eagleton</t>
  </si>
  <si>
    <t>Edgerton WWTP</t>
  </si>
  <si>
    <t>Edgerton</t>
  </si>
  <si>
    <t>Ellsworth WWTP</t>
  </si>
  <si>
    <t>Ellsworth</t>
  </si>
  <si>
    <t>Elysian WWTP</t>
  </si>
  <si>
    <t>Elysian</t>
  </si>
  <si>
    <t>Emmons WWTP</t>
  </si>
  <si>
    <t>Emmons</t>
  </si>
  <si>
    <t>Eveleth WWTP</t>
  </si>
  <si>
    <t>Eveleth</t>
  </si>
  <si>
    <t>Excelsior WTP</t>
  </si>
  <si>
    <t>Excelsior</t>
  </si>
  <si>
    <t>Fairmont WWTP</t>
  </si>
  <si>
    <t>Fairmont</t>
  </si>
  <si>
    <t>Faribault WWTP</t>
  </si>
  <si>
    <t>Faribault</t>
  </si>
  <si>
    <t>Fergus Falls WWTP</t>
  </si>
  <si>
    <t>Fergus Falls</t>
  </si>
  <si>
    <t>Fosston WWTP</t>
  </si>
  <si>
    <t>Fosston</t>
  </si>
  <si>
    <t>Franklin WWTP</t>
  </si>
  <si>
    <t>Franklin</t>
  </si>
  <si>
    <t>Gilbert WWTP</t>
  </si>
  <si>
    <t>Gilbert</t>
  </si>
  <si>
    <t>Gonvick WWTP</t>
  </si>
  <si>
    <t>Gonvick</t>
  </si>
  <si>
    <t>Goodhue WWTP</t>
  </si>
  <si>
    <t>Goodhue</t>
  </si>
  <si>
    <t>Green Lake SSWD WWTP</t>
  </si>
  <si>
    <t>Green Lake</t>
  </si>
  <si>
    <t>Grove City WWTP</t>
  </si>
  <si>
    <t>Grove City</t>
  </si>
  <si>
    <t>Harmony WWTP</t>
  </si>
  <si>
    <t>Harmony</t>
  </si>
  <si>
    <t>Hawley WWTP</t>
  </si>
  <si>
    <t>Hawley</t>
  </si>
  <si>
    <t>Hayfield WWTP</t>
  </si>
  <si>
    <t>Hayfield</t>
  </si>
  <si>
    <t>Hector WWTP</t>
  </si>
  <si>
    <t>Hector</t>
  </si>
  <si>
    <t>Hibbing WWTP South Plant</t>
  </si>
  <si>
    <t>Hibbing</t>
  </si>
  <si>
    <t>Hoffman WWTP</t>
  </si>
  <si>
    <t>Hoffman</t>
  </si>
  <si>
    <t>Holdingford WWTP</t>
  </si>
  <si>
    <t>Holdingford</t>
  </si>
  <si>
    <t>Holland WWTP</t>
  </si>
  <si>
    <t>Holland</t>
  </si>
  <si>
    <t>Hutchinson WWTP</t>
  </si>
  <si>
    <t>Hutchinson</t>
  </si>
  <si>
    <t>Jordan WWTP</t>
  </si>
  <si>
    <t>Jordan</t>
  </si>
  <si>
    <t>Kasson WWTP</t>
  </si>
  <si>
    <t>Kasson</t>
  </si>
  <si>
    <t>Kerkhoven WWTP</t>
  </si>
  <si>
    <t>Kerkhoven</t>
  </si>
  <si>
    <t>Lafayette WWTP</t>
  </si>
  <si>
    <t>Lafayette</t>
  </si>
  <si>
    <t>Lakefield WWTP</t>
  </si>
  <si>
    <t>Lakefield</t>
  </si>
  <si>
    <t>Le Center WWTP</t>
  </si>
  <si>
    <t>Le Center</t>
  </si>
  <si>
    <t>Lester Prairie WWTP</t>
  </si>
  <si>
    <t>Lester Prairie</t>
  </si>
  <si>
    <t>Lewiston WWTP</t>
  </si>
  <si>
    <t>Lewiston</t>
  </si>
  <si>
    <t>Litchfield WWTP</t>
  </si>
  <si>
    <t>Litchfield</t>
  </si>
  <si>
    <t>Littlefork WWTP</t>
  </si>
  <si>
    <t>Littlefork</t>
  </si>
  <si>
    <t>Long Prairie WWTP - Municipal</t>
  </si>
  <si>
    <t>Long Prairie</t>
  </si>
  <si>
    <t>Lonsdale WWTP</t>
  </si>
  <si>
    <t>Lonsdale</t>
  </si>
  <si>
    <t>Lucan WWTP</t>
  </si>
  <si>
    <t>Lucan</t>
  </si>
  <si>
    <t>Luverne WWTP</t>
  </si>
  <si>
    <t>Luverne</t>
  </si>
  <si>
    <t>Mabel WWTP</t>
  </si>
  <si>
    <t>Mabel</t>
  </si>
  <si>
    <t>Madelia WWTP</t>
  </si>
  <si>
    <t>Madelia</t>
  </si>
  <si>
    <t>Madison WWTP</t>
  </si>
  <si>
    <t>Madison</t>
  </si>
  <si>
    <t>Marshall WWTP</t>
  </si>
  <si>
    <t>Marshall</t>
  </si>
  <si>
    <t>Mayer WWTP</t>
  </si>
  <si>
    <t>Mayer</t>
  </si>
  <si>
    <t>Maynard WWTP</t>
  </si>
  <si>
    <t>Maynard</t>
  </si>
  <si>
    <t>McKinley WWTP</t>
  </si>
  <si>
    <t>McKinley</t>
  </si>
  <si>
    <t>Meadows of Whisper Creek WWTP</t>
  </si>
  <si>
    <t>Greenfield</t>
  </si>
  <si>
    <t>Melrose WWTP</t>
  </si>
  <si>
    <t>Melrose</t>
  </si>
  <si>
    <t>Montevideo WWTP</t>
  </si>
  <si>
    <t>Montevideo</t>
  </si>
  <si>
    <t>Montgomery WWTP</t>
  </si>
  <si>
    <t>Montgomery</t>
  </si>
  <si>
    <t>Morgan WWTP</t>
  </si>
  <si>
    <t>Morgan</t>
  </si>
  <si>
    <t>Morris WWTP</t>
  </si>
  <si>
    <t>Morris</t>
  </si>
  <si>
    <t>Motley WWTP</t>
  </si>
  <si>
    <t>Motley</t>
  </si>
  <si>
    <t>Mountain Lake WWTP</t>
  </si>
  <si>
    <t>Mountain Lake</t>
  </si>
  <si>
    <t>MRVPUC WWTP</t>
  </si>
  <si>
    <t>Le Sueur</t>
  </si>
  <si>
    <t>Nerstrand WWTP</t>
  </si>
  <si>
    <t>Nerstrand</t>
  </si>
  <si>
    <t>New Prague WWTP</t>
  </si>
  <si>
    <t>New Prague</t>
  </si>
  <si>
    <t>New Richland WWTP</t>
  </si>
  <si>
    <t>New Richland</t>
  </si>
  <si>
    <t>New Ulm WWTP</t>
  </si>
  <si>
    <t>New Ulm</t>
  </si>
  <si>
    <t>Norwood Young America WWTP</t>
  </si>
  <si>
    <t>Norwood Young America</t>
  </si>
  <si>
    <t>Ogilvie WWTP</t>
  </si>
  <si>
    <t>Ogilvie</t>
  </si>
  <si>
    <t>Olivia WWTP</t>
  </si>
  <si>
    <t>Olivia</t>
  </si>
  <si>
    <t>Otsego WWTP West</t>
  </si>
  <si>
    <t>Otsego</t>
  </si>
  <si>
    <t>Owatonna WWTP</t>
  </si>
  <si>
    <t>Owatonna</t>
  </si>
  <si>
    <t>Pawnee WWTP</t>
  </si>
  <si>
    <t>Pawnee</t>
  </si>
  <si>
    <t>Pelican Rapids WWTP</t>
  </si>
  <si>
    <t>Pelican Rapids</t>
  </si>
  <si>
    <t>Pemberton WWTP</t>
  </si>
  <si>
    <t>Pemberton</t>
  </si>
  <si>
    <t>Pine Island WWTP</t>
  </si>
  <si>
    <t>Pine Island</t>
  </si>
  <si>
    <t>Pipestone WWTP</t>
  </si>
  <si>
    <t>Pipestone</t>
  </si>
  <si>
    <r>
      <rPr>
        <b/>
        <sz val="11"/>
        <color indexed="8"/>
        <rFont val="Calibri"/>
        <family val="2"/>
      </rPr>
      <t>Plainview</t>
    </r>
    <r>
      <rPr>
        <sz val="11"/>
        <color theme="1"/>
        <rFont val="Calibri"/>
        <family val="2"/>
        <scheme val="minor"/>
      </rPr>
      <t>-Elgin Sanitary District WWTP</t>
    </r>
  </si>
  <si>
    <t>Plainview-Elgin</t>
  </si>
  <si>
    <t>Plainview</t>
  </si>
  <si>
    <r>
      <t>Plainview-</t>
    </r>
    <r>
      <rPr>
        <b/>
        <sz val="11"/>
        <color indexed="8"/>
        <rFont val="Calibri"/>
        <family val="2"/>
      </rPr>
      <t>Elgin</t>
    </r>
    <r>
      <rPr>
        <sz val="11"/>
        <color theme="1"/>
        <rFont val="Calibri"/>
        <family val="2"/>
        <scheme val="minor"/>
      </rPr>
      <t xml:space="preserve"> Sanitary District WWTP</t>
    </r>
  </si>
  <si>
    <t>Elgin</t>
  </si>
  <si>
    <t>Preston WWTP</t>
  </si>
  <si>
    <t>Preston</t>
  </si>
  <si>
    <t>Prinsburg WWTP</t>
  </si>
  <si>
    <t>Prinsburg</t>
  </si>
  <si>
    <t>Red Lake Falls WWTP</t>
  </si>
  <si>
    <t>Red Lake Falls</t>
  </si>
  <si>
    <t>Red Wing WWTP</t>
  </si>
  <si>
    <t>Red Wing</t>
  </si>
  <si>
    <t>Redwood Falls WWTP</t>
  </si>
  <si>
    <t>Redwood Falls</t>
  </si>
  <si>
    <t>Renville WWTP</t>
  </si>
  <si>
    <t>Renville</t>
  </si>
  <si>
    <t>Rochester WWTP/Water Reclamation Plant</t>
  </si>
  <si>
    <t>Rochester</t>
  </si>
  <si>
    <t>Rogers WWTP</t>
  </si>
  <si>
    <t>Rogers</t>
  </si>
  <si>
    <t>Rushford WWTP</t>
  </si>
  <si>
    <t>Rushford</t>
  </si>
  <si>
    <t>Sacred Heart WWTP</t>
  </si>
  <si>
    <t>Sacred Heart</t>
  </si>
  <si>
    <t>Saint James WWTP</t>
  </si>
  <si>
    <t>Saint James</t>
  </si>
  <si>
    <t>Saint Michael WWTP</t>
  </si>
  <si>
    <t>Saint Michael</t>
  </si>
  <si>
    <t>Saint Peter WWTP</t>
  </si>
  <si>
    <t>Saint Peter</t>
  </si>
  <si>
    <t>Sauk Centre WWTP</t>
  </si>
  <si>
    <t>Sauk Centre</t>
  </si>
  <si>
    <t>Sherburn WWTP</t>
  </si>
  <si>
    <t>Sherburn</t>
  </si>
  <si>
    <t>Sleepy Eye WWTP</t>
  </si>
  <si>
    <t>Sleepy Eye</t>
  </si>
  <si>
    <t>Spring Valley WWTP</t>
  </si>
  <si>
    <t>Spring Valley</t>
  </si>
  <si>
    <t>Springfield WWTP</t>
  </si>
  <si>
    <t>Springfield</t>
  </si>
  <si>
    <t>Staples WWTP</t>
  </si>
  <si>
    <t>Staples</t>
  </si>
  <si>
    <t>Starbuck WWTP</t>
  </si>
  <si>
    <t>Starbuck</t>
  </si>
  <si>
    <t>Thief River Falls WWTP</t>
  </si>
  <si>
    <t>Thief River Falls</t>
  </si>
  <si>
    <t>Trimont WWTP</t>
  </si>
  <si>
    <t>Trimont</t>
  </si>
  <si>
    <t>Truman WWTP</t>
  </si>
  <si>
    <t>Truman</t>
  </si>
  <si>
    <t>Virginia WWTP</t>
  </si>
  <si>
    <t>Virginia</t>
  </si>
  <si>
    <t>Wabasso WWTP</t>
  </si>
  <si>
    <t>Wabasso</t>
  </si>
  <si>
    <t>Wadena WWTP</t>
  </si>
  <si>
    <t>Wadena</t>
  </si>
  <si>
    <t>Waldorf WWTP</t>
  </si>
  <si>
    <t>Waldorf</t>
  </si>
  <si>
    <t>Walnut Grove WWTP</t>
  </si>
  <si>
    <t>Walnut Grove</t>
  </si>
  <si>
    <t>Waseca WWTP</t>
  </si>
  <si>
    <t>Waseca</t>
  </si>
  <si>
    <t>Watertown WWTP</t>
  </si>
  <si>
    <t>Watertown</t>
  </si>
  <si>
    <t>Waterville WWTP</t>
  </si>
  <si>
    <t>Waterville</t>
  </si>
  <si>
    <t>Welcome WWTP</t>
  </si>
  <si>
    <t>Welcome</t>
  </si>
  <si>
    <r>
      <rPr>
        <b/>
        <sz val="11"/>
        <color indexed="8"/>
        <rFont val="Calibri"/>
        <family val="2"/>
      </rPr>
      <t>Wells</t>
    </r>
    <r>
      <rPr>
        <sz val="11"/>
        <color theme="1"/>
        <rFont val="Calibri"/>
        <family val="2"/>
        <scheme val="minor"/>
      </rPr>
      <t>-Easton-Minnesota Lake WWTP</t>
    </r>
  </si>
  <si>
    <t>Wells-Easton-Minnesota Lake</t>
  </si>
  <si>
    <t>Wells</t>
  </si>
  <si>
    <r>
      <t>Wells-</t>
    </r>
    <r>
      <rPr>
        <b/>
        <sz val="11"/>
        <color indexed="8"/>
        <rFont val="Calibri"/>
        <family val="2"/>
      </rPr>
      <t>Easton</t>
    </r>
    <r>
      <rPr>
        <sz val="11"/>
        <color theme="1"/>
        <rFont val="Calibri"/>
        <family val="2"/>
        <scheme val="minor"/>
      </rPr>
      <t>-Minnesota Lake WWTP</t>
    </r>
  </si>
  <si>
    <t>Easton</t>
  </si>
  <si>
    <r>
      <t>Wells-Easton-</t>
    </r>
    <r>
      <rPr>
        <b/>
        <sz val="11"/>
        <color indexed="8"/>
        <rFont val="Calibri"/>
        <family val="2"/>
      </rPr>
      <t>Minnesota Lake</t>
    </r>
    <r>
      <rPr>
        <sz val="11"/>
        <color theme="1"/>
        <rFont val="Calibri"/>
        <family val="2"/>
        <scheme val="minor"/>
      </rPr>
      <t xml:space="preserve"> WWTP</t>
    </r>
  </si>
  <si>
    <t>West Concord WWTP</t>
  </si>
  <si>
    <t>West Concord</t>
  </si>
  <si>
    <t>Willmar WWTP</t>
  </si>
  <si>
    <t>Willmar</t>
  </si>
  <si>
    <t>Windom WWTP</t>
  </si>
  <si>
    <t>Windom</t>
  </si>
  <si>
    <t>Winnebago WWTP</t>
  </si>
  <si>
    <t>Winnebago</t>
  </si>
  <si>
    <t>Winthrop WWTP</t>
  </si>
  <si>
    <t>Winthrop</t>
  </si>
  <si>
    <t>Worthington Industrial WWTP</t>
  </si>
  <si>
    <t>Worthington</t>
  </si>
  <si>
    <t>Worthington WWTP</t>
  </si>
  <si>
    <t>Wykoff WWTP</t>
  </si>
  <si>
    <t>Wykoff</t>
  </si>
  <si>
    <t>Zimmerman WWTP</t>
  </si>
  <si>
    <t>Zimmerman</t>
  </si>
  <si>
    <t>Avg annual debt service/Current liabilities</t>
  </si>
  <si>
    <t>MN0020443</t>
  </si>
  <si>
    <t>mn0013218</t>
  </si>
  <si>
    <t>MN0021466</t>
  </si>
  <si>
    <t>MN0065668</t>
  </si>
  <si>
    <t>MN0020150</t>
  </si>
  <si>
    <t>MN0030066</t>
  </si>
  <si>
    <t>MN0020907</t>
  </si>
  <si>
    <t>MN0051284</t>
  </si>
  <si>
    <t>MN0022225</t>
  </si>
  <si>
    <t>MN0024511</t>
  </si>
  <si>
    <t>MN0054801</t>
  </si>
  <si>
    <t>MN0055361</t>
  </si>
  <si>
    <t>MN0020745</t>
  </si>
  <si>
    <t>MN0024571</t>
  </si>
  <si>
    <t>MN002041</t>
  </si>
  <si>
    <t>MN0020737</t>
  </si>
  <si>
    <t>MN0024619</t>
  </si>
  <si>
    <t>MN0024708</t>
  </si>
  <si>
    <t>MN0024759</t>
  </si>
  <si>
    <t>MN0020222</t>
  </si>
  <si>
    <t>MN00022535</t>
  </si>
  <si>
    <t>MN0024821</t>
  </si>
  <si>
    <t>MN0051934</t>
  </si>
  <si>
    <t>MN0024988</t>
  </si>
  <si>
    <t>MN0021415</t>
  </si>
  <si>
    <t>MN0021431</t>
  </si>
  <si>
    <t>MN0022071</t>
  </si>
  <si>
    <t>MNG640129</t>
  </si>
  <si>
    <t>MN0030163</t>
  </si>
  <si>
    <t>MN0025151</t>
  </si>
  <si>
    <t>MN0020672</t>
  </si>
  <si>
    <t>MN0021849</t>
  </si>
  <si>
    <t>MN0021776</t>
  </si>
  <si>
    <t>MN0020796</t>
  </si>
  <si>
    <t>MN0020940</t>
  </si>
  <si>
    <t>MN0025208</t>
  </si>
  <si>
    <t>MN0021296</t>
  </si>
  <si>
    <t>MN0025224</t>
  </si>
  <si>
    <t>MN0025259</t>
  </si>
  <si>
    <t>MN0025267</t>
  </si>
  <si>
    <t>MN0042331</t>
  </si>
  <si>
    <t>MN0021261</t>
  </si>
  <si>
    <t>MN0041092</t>
  </si>
  <si>
    <t>MN0050954</t>
  </si>
  <si>
    <t>MN0040738</t>
  </si>
  <si>
    <t>MN0021831</t>
  </si>
  <si>
    <t>mn0022624</t>
  </si>
  <si>
    <t>MN0020834</t>
  </si>
  <si>
    <t>MNG580087</t>
  </si>
  <si>
    <t>MN0020494</t>
  </si>
  <si>
    <t>MN0022683</t>
  </si>
  <si>
    <t>mn0047325</t>
  </si>
  <si>
    <t>MN0020036</t>
  </si>
  <si>
    <t>MN0020532</t>
  </si>
  <si>
    <t>MN0022870</t>
  </si>
  <si>
    <t>MN0021750</t>
  </si>
  <si>
    <t>MN0040649</t>
  </si>
  <si>
    <t>MN0020231</t>
  </si>
  <si>
    <t>MN0023001</t>
  </si>
  <si>
    <t>6091 for CIRSSD, not Chisholm</t>
  </si>
  <si>
    <t>MN0023035</t>
  </si>
  <si>
    <t>MN0023094</t>
  </si>
  <si>
    <t>mn0067008</t>
  </si>
  <si>
    <t>MNG585011</t>
  </si>
  <si>
    <t>MNG585285</t>
  </si>
  <si>
    <t>MN0023337</t>
  </si>
  <si>
    <t>MN0030112</t>
  </si>
  <si>
    <t>MN0030121</t>
  </si>
  <si>
    <t>MN 0050628</t>
  </si>
  <si>
    <t>MN0022128</t>
  </si>
  <si>
    <t>MN0020125</t>
  </si>
  <si>
    <t>MN0021083</t>
  </si>
  <si>
    <t>MN0020541</t>
  </si>
  <si>
    <t>mn0020958</t>
  </si>
  <si>
    <t>MN0020338</t>
  </si>
  <si>
    <t>MN0023612</t>
  </si>
  <si>
    <t>MN0025445</t>
  </si>
  <si>
    <t>MN0030643</t>
  </si>
  <si>
    <t>Hibbing South?</t>
  </si>
  <si>
    <t>MN0050725</t>
  </si>
  <si>
    <t>MN0023876</t>
  </si>
  <si>
    <t>MN0023931</t>
  </si>
  <si>
    <t>MN0023957</t>
  </si>
  <si>
    <t>MN0023965</t>
  </si>
  <si>
    <t>MN0023973</t>
  </si>
  <si>
    <t>MNG585081</t>
  </si>
  <si>
    <t>MN0031241</t>
  </si>
  <si>
    <t>MN0020141</t>
  </si>
  <si>
    <t>MN0020877</t>
  </si>
  <si>
    <t>MN0022179</t>
  </si>
  <si>
    <t>MN0020133</t>
  </si>
  <si>
    <t>2021 WINS</t>
  </si>
  <si>
    <t>2020 City and Special District reports</t>
  </si>
  <si>
    <t>Greenfield has separate wwtf</t>
  </si>
  <si>
    <t>Otsego West doesn't serve entire community</t>
  </si>
  <si>
    <t>MNG585001</t>
  </si>
  <si>
    <t>TMDL tableau</t>
  </si>
  <si>
    <t>MN0021890</t>
  </si>
  <si>
    <t>MNG585171</t>
  </si>
  <si>
    <t>MN0022501</t>
  </si>
  <si>
    <t>MN0045721</t>
  </si>
  <si>
    <t>MN0021822</t>
  </si>
  <si>
    <t>MN0020117</t>
  </si>
  <si>
    <t>MN0022187</t>
  </si>
  <si>
    <t>MN0023141</t>
  </si>
  <si>
    <t>SDS permit only</t>
  </si>
  <si>
    <t>Tempo</t>
  </si>
  <si>
    <t>MN0021881</t>
  </si>
  <si>
    <t>MN0020192</t>
  </si>
  <si>
    <t>MN0021016</t>
  </si>
  <si>
    <t>does this facility still exist? Not in Tempo?...</t>
  </si>
  <si>
    <t>MNG585015</t>
  </si>
  <si>
    <t>MN0023311</t>
  </si>
  <si>
    <t>this is a WTP?...</t>
  </si>
  <si>
    <t>MN0023574</t>
  </si>
  <si>
    <t>MN0022322</t>
  </si>
  <si>
    <t>MN0023710</t>
  </si>
  <si>
    <t>MNG585134</t>
  </si>
  <si>
    <t>MN0021270</t>
  </si>
  <si>
    <t>MN0055832</t>
  </si>
  <si>
    <t>MN0020869</t>
  </si>
  <si>
    <t>MN0020583</t>
  </si>
  <si>
    <t>MN0020427</t>
  </si>
  <si>
    <t>MN0031348</t>
  </si>
  <si>
    <t>MN0024040</t>
  </si>
  <si>
    <t>MN0051764</t>
  </si>
  <si>
    <t>MN0021202</t>
  </si>
  <si>
    <t>MN0056588</t>
  </si>
  <si>
    <t>MNG585367</t>
  </si>
  <si>
    <t>MN0066753</t>
  </si>
  <si>
    <t>MN0020290</t>
  </si>
  <si>
    <t>MN0024210</t>
  </si>
  <si>
    <t>MN0024244</t>
  </si>
  <si>
    <t>MN0021032</t>
  </si>
  <si>
    <t>MN0024392</t>
  </si>
  <si>
    <t>MN0021997</t>
  </si>
  <si>
    <t>MN0066257</t>
  </si>
  <si>
    <t>MNG585075</t>
  </si>
  <si>
    <t>MN0063932</t>
  </si>
  <si>
    <t>MNG585161</t>
  </si>
  <si>
    <t>MN0029629</t>
  </si>
  <si>
    <t>MN0024678</t>
  </si>
  <si>
    <t>MN0024872</t>
  </si>
  <si>
    <t>MNG585041</t>
  </si>
  <si>
    <t>MN0024953</t>
  </si>
  <si>
    <t>MN0025241</t>
  </si>
  <si>
    <t>MN0051098</t>
  </si>
  <si>
    <t>MN0031186</t>
  </si>
  <si>
    <t>MN0020826</t>
  </si>
  <si>
    <t>Net Taxy Capacity Levy</t>
  </si>
  <si>
    <t>I have read and understood the above statements.</t>
  </si>
  <si>
    <t>The capital cost calculations are not necessarily accurate for drinking water facilities greater than 4.5 million gallons per day capacity.</t>
  </si>
  <si>
    <t>I commit to taking no action that would increase the chloride loading to the WWTP during the term of the variance and complying with my interim chloride limit.</t>
  </si>
  <si>
    <t>This tool assumes that chloride source reduction is the best strategy for reducing chloride loads appearing at a wastewater treatment plant (WWTP). By using this calculator I’m agreeing to the default source reduction strategy found in the guidance document to this calculator. This strategy is summarized below:</t>
  </si>
  <si>
    <t>Before using this eligibility tool, confirm that you have read the following statements</t>
  </si>
  <si>
    <r>
      <rPr>
        <b/>
        <sz val="10"/>
        <color indexed="8"/>
        <rFont val="Arial"/>
        <family val="2"/>
      </rPr>
      <t xml:space="preserve">Instructions:  </t>
    </r>
    <r>
      <rPr>
        <sz val="10"/>
        <color indexed="8"/>
        <rFont val="Arial"/>
        <family val="2"/>
      </rPr>
      <t xml:space="preserve">After reading the instructions document, </t>
    </r>
    <r>
      <rPr>
        <i/>
        <sz val="10"/>
        <color indexed="8"/>
        <rFont val="Arial"/>
        <family val="2"/>
      </rPr>
      <t>Instructions on Eligibility tool for streamlined chloride variance approach</t>
    </r>
    <r>
      <rPr>
        <sz val="10"/>
        <color indexed="8"/>
        <rFont val="Arial"/>
        <family val="2"/>
      </rPr>
      <t xml:space="preserve"> (wq-wwprm2-17a), please submit this </t>
    </r>
    <r>
      <rPr>
        <i/>
        <sz val="10"/>
        <color indexed="8"/>
        <rFont val="Arial"/>
        <family val="2"/>
      </rPr>
      <t>Eligibility tool for Streamlined Chloride Variance Approach</t>
    </r>
    <r>
      <rPr>
        <sz val="10"/>
        <color indexed="8"/>
        <rFont val="Arial"/>
        <family val="2"/>
      </rPr>
      <t xml:space="preserve"> form 
(wq-wwprm2-17) electronically via email to the Minnesota Pollution Control Agency (MPCA) at:
</t>
    </r>
  </si>
  <si>
    <t>WQSvariances.mpca@state.mn.us.</t>
  </si>
  <si>
    <t>I recognize that this spreadsheet is a screening tool. The variance eligibility results in this tool are preliminary and subject to final review by the MPCA and U.S. Environmental Protection Agency (EPA). Additional information may be necessary for MPCA and/or the EPA to make a final determination on eligibility.</t>
  </si>
  <si>
    <t>The compliance costs calculated in this tool are preliminary and are only useful for high-level cost analysis. Actual compliances costs might be different for your facility.</t>
  </si>
  <si>
    <t>1.       Building a centralized lime softening treatment plant to provide soft water to users, OR</t>
  </si>
  <si>
    <r>
      <t xml:space="preserve">Inflow and infiltration of road salt into the wastewater collection network is not known to be a significant reason for high effluent chloride concentrations. </t>
    </r>
    <r>
      <rPr>
        <i/>
        <sz val="10"/>
        <color theme="1"/>
        <rFont val="Arial"/>
        <family val="2"/>
      </rPr>
      <t>If there are concerns about inflow and infiltration but the impacts on chloride loading are unclear, identify that I&amp;I issues exist in the chloride variance request form (wq-wwprm2-10e).</t>
    </r>
  </si>
  <si>
    <r>
      <rPr>
        <b/>
        <sz val="10"/>
        <color indexed="8"/>
        <rFont val="Arial"/>
        <family val="2"/>
      </rPr>
      <t>Questions:</t>
    </r>
    <r>
      <rPr>
        <sz val="10"/>
        <color indexed="8"/>
        <rFont val="Arial"/>
        <family val="2"/>
      </rPr>
      <t xml:space="preserve">  If you have any questions regarding the eligibility tool or the instructions, contact the Water Quality Standards variance coordinators at:</t>
    </r>
  </si>
  <si>
    <t>WQSvariances.mpca@state.mn.us</t>
  </si>
  <si>
    <t>Instructions</t>
  </si>
  <si>
    <t>Purpose</t>
  </si>
  <si>
    <t>Evaluating substantial and widespread economic and social impacts for chloride variance eligibility</t>
  </si>
  <si>
    <t>For more detailed instructions, see "Instructions on Eligibility tool for streamlined chloride variance approach (wq-wwprm2-17a)" on the MPCA website.</t>
  </si>
  <si>
    <t>EAGLETON</t>
  </si>
  <si>
    <t>Excelsior WWTP</t>
  </si>
  <si>
    <t>GREEN LAKE</t>
  </si>
  <si>
    <t>Plainview-Elgin Sanitary District WWTP</t>
  </si>
  <si>
    <r>
      <t>Plainview-</t>
    </r>
    <r>
      <rPr>
        <b/>
        <sz val="11"/>
        <color theme="1"/>
        <rFont val="Calibri"/>
        <family val="2"/>
        <scheme val="minor"/>
      </rPr>
      <t>Elgin</t>
    </r>
    <r>
      <rPr>
        <sz val="11"/>
        <color theme="1"/>
        <rFont val="Calibri"/>
        <family val="2"/>
        <scheme val="minor"/>
      </rPr>
      <t xml:space="preserve"> Sanitary District WWTP</t>
    </r>
  </si>
  <si>
    <r>
      <rPr>
        <b/>
        <sz val="11"/>
        <color theme="1"/>
        <rFont val="Calibri"/>
        <family val="2"/>
        <scheme val="minor"/>
      </rPr>
      <t>Plainview</t>
    </r>
    <r>
      <rPr>
        <sz val="11"/>
        <color theme="1"/>
        <rFont val="Calibri"/>
        <family val="2"/>
        <scheme val="minor"/>
      </rPr>
      <t>-Elgin Sanitary District WWTP</t>
    </r>
  </si>
  <si>
    <t>PLAINVIEW-ELGIN</t>
  </si>
  <si>
    <t>Springfiled WWTP</t>
  </si>
  <si>
    <t>orig el tool (2014) - needs update</t>
  </si>
  <si>
    <t>Permit #</t>
  </si>
  <si>
    <t>PWS_ID</t>
  </si>
  <si>
    <t>Coon Rapids</t>
  </si>
  <si>
    <t>Fridley</t>
  </si>
  <si>
    <t>North Branch</t>
  </si>
  <si>
    <t>Apple Valley</t>
  </si>
  <si>
    <t>Burnsville</t>
  </si>
  <si>
    <t>Eagan</t>
  </si>
  <si>
    <t>Bloomington</t>
  </si>
  <si>
    <t>Brooklyn Park</t>
  </si>
  <si>
    <t>Edina</t>
  </si>
  <si>
    <t>Tonka Bay</t>
  </si>
  <si>
    <t/>
  </si>
  <si>
    <t>Hopkins</t>
  </si>
  <si>
    <t>Maple Grove</t>
  </si>
  <si>
    <t>Minnetonka</t>
  </si>
  <si>
    <t>Minnetonka Beach</t>
  </si>
  <si>
    <t>Orono</t>
  </si>
  <si>
    <t>Plymouth</t>
  </si>
  <si>
    <t>Richfield</t>
  </si>
  <si>
    <t>Robbinsdale</t>
  </si>
  <si>
    <t>Saint Anthony Village</t>
  </si>
  <si>
    <t>Saint Louis Park</t>
  </si>
  <si>
    <t>Spring Park</t>
  </si>
  <si>
    <t>Lake Park</t>
  </si>
  <si>
    <t>Clinton</t>
  </si>
  <si>
    <t>Graceville</t>
  </si>
  <si>
    <t>Mounds View</t>
  </si>
  <si>
    <t>New Brighton</t>
  </si>
  <si>
    <t>White Bear Lake</t>
  </si>
  <si>
    <t>White Bear Township</t>
  </si>
  <si>
    <t>Lakeland Municipal Water</t>
  </si>
  <si>
    <t>Saint Paul Regional Water Services</t>
  </si>
  <si>
    <t>Audubon</t>
  </si>
  <si>
    <t>Lake Crystal</t>
  </si>
  <si>
    <t>Mankato</t>
  </si>
  <si>
    <t>Mapleton</t>
  </si>
  <si>
    <t>Vernon Center</t>
  </si>
  <si>
    <t>Comfrey</t>
  </si>
  <si>
    <t>Glyndon</t>
  </si>
  <si>
    <t>Moorhead</t>
  </si>
  <si>
    <t>Georgetown</t>
  </si>
  <si>
    <t>Brandon</t>
  </si>
  <si>
    <t>Evansville</t>
  </si>
  <si>
    <t>Barrett</t>
  </si>
  <si>
    <t>Elbow Lake</t>
  </si>
  <si>
    <t>Borup</t>
  </si>
  <si>
    <t>Halstad</t>
  </si>
  <si>
    <t>Hendrum</t>
  </si>
  <si>
    <t>Perley</t>
  </si>
  <si>
    <t>Twin Valley</t>
  </si>
  <si>
    <t>New York Mills</t>
  </si>
  <si>
    <t>Parkers Prairie</t>
  </si>
  <si>
    <t>Perham</t>
  </si>
  <si>
    <t>Donnelly</t>
  </si>
  <si>
    <t>Hancock</t>
  </si>
  <si>
    <t>Dover</t>
  </si>
  <si>
    <t>Eyota</t>
  </si>
  <si>
    <t>Ceylon</t>
  </si>
  <si>
    <t>Granada</t>
  </si>
  <si>
    <t>Northrop</t>
  </si>
  <si>
    <t>Courtland</t>
  </si>
  <si>
    <t>North Mankato</t>
  </si>
  <si>
    <t>Stewartville</t>
  </si>
  <si>
    <t>Elba</t>
  </si>
  <si>
    <t>Saint Charles</t>
  </si>
  <si>
    <t>Shakopee</t>
  </si>
  <si>
    <t>Balaton</t>
  </si>
  <si>
    <t>Bellingham</t>
  </si>
  <si>
    <t>Glencoe</t>
  </si>
  <si>
    <t>Minnetrista</t>
  </si>
  <si>
    <t>Rollingstone</t>
  </si>
  <si>
    <t>Utica</t>
  </si>
  <si>
    <t>Rush City</t>
  </si>
  <si>
    <t>Wyoming</t>
  </si>
  <si>
    <t>Vadnais Heights</t>
  </si>
  <si>
    <t>Bayport</t>
  </si>
  <si>
    <t>Hugo</t>
  </si>
  <si>
    <t>Mahtomedi</t>
  </si>
  <si>
    <t>Oakdale</t>
  </si>
  <si>
    <t>Saint Paul Park</t>
  </si>
  <si>
    <t>Foreston</t>
  </si>
  <si>
    <t>Belview</t>
  </si>
  <si>
    <t>Canby</t>
  </si>
  <si>
    <t>Clarkfield</t>
  </si>
  <si>
    <t>Currie</t>
  </si>
  <si>
    <t>Fairfax</t>
  </si>
  <si>
    <t>Fulda</t>
  </si>
  <si>
    <t>Hanley Falls</t>
  </si>
  <si>
    <t>Jackson</t>
  </si>
  <si>
    <t>Lake Wilson</t>
  </si>
  <si>
    <t>Lincoln-Pipestone Rural Water System</t>
  </si>
  <si>
    <t>Zumbrota</t>
  </si>
  <si>
    <t>Kilkenny</t>
  </si>
  <si>
    <t>Morristown</t>
  </si>
  <si>
    <t>Northfield</t>
  </si>
  <si>
    <t>Odessa</t>
  </si>
  <si>
    <t>Lakeville</t>
  </si>
  <si>
    <t>Medford</t>
  </si>
  <si>
    <t>Calumet</t>
  </si>
  <si>
    <t>Deer River</t>
  </si>
  <si>
    <t>Byron</t>
  </si>
  <si>
    <t>Rushford Village</t>
  </si>
  <si>
    <t>Conger</t>
  </si>
  <si>
    <t>Eitzen</t>
  </si>
  <si>
    <t>Hokah</t>
  </si>
  <si>
    <t>Dexter</t>
  </si>
  <si>
    <t>Racine</t>
  </si>
  <si>
    <t>Sargeant</t>
  </si>
  <si>
    <t>Brownsdale</t>
  </si>
  <si>
    <t>Hammond</t>
  </si>
  <si>
    <t>Kellogg</t>
  </si>
  <si>
    <t>Lake City</t>
  </si>
  <si>
    <t>Waite Park</t>
  </si>
  <si>
    <t>Grey Eagle</t>
  </si>
  <si>
    <t>Hewitt</t>
  </si>
  <si>
    <t>Browns Valley</t>
  </si>
  <si>
    <t>Dumont</t>
  </si>
  <si>
    <t>Wheaton</t>
  </si>
  <si>
    <t>Menahga</t>
  </si>
  <si>
    <t>Sebeka</t>
  </si>
  <si>
    <t>Rothsay</t>
  </si>
  <si>
    <t>Good Thunder</t>
  </si>
  <si>
    <t>Dunnell</t>
  </si>
  <si>
    <t>Janesville</t>
  </si>
  <si>
    <t>LaSalle</t>
  </si>
  <si>
    <t>Barnum</t>
  </si>
  <si>
    <t>Millville</t>
  </si>
  <si>
    <t>Wabasha</t>
  </si>
  <si>
    <t>Chatfield</t>
  </si>
  <si>
    <t>Fountain</t>
  </si>
  <si>
    <t>Peterson</t>
  </si>
  <si>
    <t>Morton</t>
  </si>
  <si>
    <t>Red Rock Rural Water System</t>
  </si>
  <si>
    <t>Rock County Rural Water System</t>
  </si>
  <si>
    <t>Ruthton</t>
  </si>
  <si>
    <t>Rice</t>
  </si>
  <si>
    <t>Sauk Rapids</t>
  </si>
  <si>
    <t>Onamia</t>
  </si>
  <si>
    <t>Mazeppa</t>
  </si>
  <si>
    <t>Rosemount</t>
  </si>
  <si>
    <t>Eagle Lake</t>
  </si>
  <si>
    <t>South Bend Township</t>
  </si>
  <si>
    <t>Hanska</t>
  </si>
  <si>
    <t>Bricelyn</t>
  </si>
  <si>
    <t>Rich Prairie Sewer and Water District</t>
  </si>
  <si>
    <t>Saint Bonifacius</t>
  </si>
  <si>
    <t>Hinckley</t>
  </si>
  <si>
    <t>Inver Grove Heights</t>
  </si>
  <si>
    <t>Ortonville</t>
  </si>
  <si>
    <t>Champlin</t>
  </si>
  <si>
    <t>Murdock</t>
  </si>
  <si>
    <t>Browerville</t>
  </si>
  <si>
    <t>Keewatin</t>
  </si>
  <si>
    <t>Eagle Bend</t>
  </si>
  <si>
    <t>Stillwater</t>
  </si>
  <si>
    <t>Taylors Falls</t>
  </si>
  <si>
    <t>North Saint Paul</t>
  </si>
  <si>
    <t>Cottage Grove</t>
  </si>
  <si>
    <t>Newport</t>
  </si>
  <si>
    <t>Oak Park Heights</t>
  </si>
  <si>
    <t>Woodbury</t>
  </si>
  <si>
    <t>Glacial Lakes Sanitary Sewer/Water Dist</t>
  </si>
  <si>
    <t>Monticello</t>
  </si>
  <si>
    <t>Clearwater</t>
  </si>
  <si>
    <t>Oklee</t>
  </si>
  <si>
    <t>Warroad</t>
  </si>
  <si>
    <t>Strandquist</t>
  </si>
  <si>
    <t>Felton</t>
  </si>
  <si>
    <t>Ada</t>
  </si>
  <si>
    <t>Deer Creek</t>
  </si>
  <si>
    <t>Cottonwood</t>
  </si>
  <si>
    <t>Iona</t>
  </si>
  <si>
    <t>Medina</t>
  </si>
  <si>
    <t>Orr</t>
  </si>
  <si>
    <t>Vergas</t>
  </si>
  <si>
    <t>Danube</t>
  </si>
  <si>
    <t>Wayzata</t>
  </si>
  <si>
    <t>Waconia</t>
  </si>
  <si>
    <t>Hitterdal</t>
  </si>
  <si>
    <t>Elk River</t>
  </si>
  <si>
    <t>Anoka</t>
  </si>
  <si>
    <t>Minneapolis</t>
  </si>
  <si>
    <t>Hill City</t>
  </si>
  <si>
    <t>Meadowlands</t>
  </si>
  <si>
    <t>Kimball</t>
  </si>
  <si>
    <t>Roseau</t>
  </si>
  <si>
    <t>Brownton</t>
  </si>
  <si>
    <t>Laporte</t>
  </si>
  <si>
    <t>Ramsey</t>
  </si>
  <si>
    <t>Lake Elmo</t>
  </si>
  <si>
    <t>Lindstrom</t>
  </si>
  <si>
    <t>Circle Pines</t>
  </si>
  <si>
    <t>Clements</t>
  </si>
  <si>
    <t>Mora</t>
  </si>
  <si>
    <t>Gaylord</t>
  </si>
  <si>
    <t>Shorewood</t>
  </si>
  <si>
    <t>Correll</t>
  </si>
  <si>
    <t>Battle Lake</t>
  </si>
  <si>
    <t>Fertile</t>
  </si>
  <si>
    <t>Blackduck</t>
  </si>
  <si>
    <t>Sanborn</t>
  </si>
  <si>
    <t>Wrenshall</t>
  </si>
  <si>
    <t>Karlstad</t>
  </si>
  <si>
    <t>Farmington</t>
  </si>
  <si>
    <t>Cannon Falls</t>
  </si>
  <si>
    <t>Blaine</t>
  </si>
  <si>
    <t>Lino Lakes</t>
  </si>
  <si>
    <t>Slayton</t>
  </si>
  <si>
    <t>Tracy</t>
  </si>
  <si>
    <t>Wanda</t>
  </si>
  <si>
    <t>Westbrook</t>
  </si>
  <si>
    <t>Wood Lake</t>
  </si>
  <si>
    <t>Howard Lake</t>
  </si>
  <si>
    <t>Maple Lake</t>
  </si>
  <si>
    <t>Marshall-Polk Rural Water System</t>
  </si>
  <si>
    <t>Alpha</t>
  </si>
  <si>
    <t>Lamberton</t>
  </si>
  <si>
    <t>LeSueur</t>
  </si>
  <si>
    <t>Savage</t>
  </si>
  <si>
    <t>Long Lake</t>
  </si>
  <si>
    <t>Beaver Creek</t>
  </si>
  <si>
    <t>Empire Township</t>
  </si>
  <si>
    <t>Kenyon</t>
  </si>
  <si>
    <t>Silver Lake</t>
  </si>
  <si>
    <t>Brooten</t>
  </si>
  <si>
    <t>Rockville</t>
  </si>
  <si>
    <t>Roscoe</t>
  </si>
  <si>
    <t>Palisade</t>
  </si>
  <si>
    <t>Cromwell</t>
  </si>
  <si>
    <t>Kettle River</t>
  </si>
  <si>
    <t>Pequot Lakes</t>
  </si>
  <si>
    <t>Buffalo Lake</t>
  </si>
  <si>
    <t>Zumbro Falls</t>
  </si>
  <si>
    <t>Eden Valley</t>
  </si>
  <si>
    <t>Hastings</t>
  </si>
  <si>
    <t>Sartell</t>
  </si>
  <si>
    <t>Willow River</t>
  </si>
  <si>
    <t>Henning</t>
  </si>
  <si>
    <t>Comstock</t>
  </si>
  <si>
    <t>Forest Lake</t>
  </si>
  <si>
    <t>Upsala</t>
  </si>
  <si>
    <t>Clear Lake</t>
  </si>
  <si>
    <t>Goodridge</t>
  </si>
  <si>
    <t>South Saint Paul</t>
  </si>
  <si>
    <t>Randolph</t>
  </si>
  <si>
    <t>Vermillion</t>
  </si>
  <si>
    <t>Bellechester</t>
  </si>
  <si>
    <t>Wanamingo</t>
  </si>
  <si>
    <t>Dennison</t>
  </si>
  <si>
    <t>Cleveland</t>
  </si>
  <si>
    <t>Kasota</t>
  </si>
  <si>
    <t>Dundas</t>
  </si>
  <si>
    <t>Blue Earth Light and Water</t>
  </si>
  <si>
    <t>Delavan</t>
  </si>
  <si>
    <t>Elmore</t>
  </si>
  <si>
    <t>Kiester</t>
  </si>
  <si>
    <t>Underwood</t>
  </si>
  <si>
    <t>International Falls</t>
  </si>
  <si>
    <t>Clarks Grove</t>
  </si>
  <si>
    <t>LeRoy</t>
  </si>
  <si>
    <t>Dayton</t>
  </si>
  <si>
    <t>Atwater</t>
  </si>
  <si>
    <t>Glenwood</t>
  </si>
  <si>
    <t>Warren</t>
  </si>
  <si>
    <t>Saint Hilaire</t>
  </si>
  <si>
    <t>Climax</t>
  </si>
  <si>
    <t>Crookston</t>
  </si>
  <si>
    <t>East Grand Forks</t>
  </si>
  <si>
    <t>Nielsville</t>
  </si>
  <si>
    <t>Beltrami</t>
  </si>
  <si>
    <t>Plummer</t>
  </si>
  <si>
    <t>Badger</t>
  </si>
  <si>
    <t>Lyle</t>
  </si>
  <si>
    <t>Mapleview</t>
  </si>
  <si>
    <t>Rose Creek</t>
  </si>
  <si>
    <t>McGregor</t>
  </si>
  <si>
    <t>Pine River</t>
  </si>
  <si>
    <t>Clearbrook</t>
  </si>
  <si>
    <t>Hampton</t>
  </si>
  <si>
    <t>New Trier</t>
  </si>
  <si>
    <t>Cambridge</t>
  </si>
  <si>
    <t>Swanville</t>
  </si>
  <si>
    <t>Big Lake</t>
  </si>
  <si>
    <t>Waverly</t>
  </si>
  <si>
    <t>South Haven</t>
  </si>
  <si>
    <t>Chandler</t>
  </si>
  <si>
    <t>Cloquet</t>
  </si>
  <si>
    <t>Ostrander</t>
  </si>
  <si>
    <t>Geneva</t>
  </si>
  <si>
    <t>Glenville</t>
  </si>
  <si>
    <t>Hayward</t>
  </si>
  <si>
    <t>Hollandale</t>
  </si>
  <si>
    <t>Spring Grove</t>
  </si>
  <si>
    <t>Austin Utilities</t>
  </si>
  <si>
    <t>Elkton</t>
  </si>
  <si>
    <t>Backus</t>
  </si>
  <si>
    <t>Cuyuna</t>
  </si>
  <si>
    <t>Nevis</t>
  </si>
  <si>
    <t>Mantorville</t>
  </si>
  <si>
    <t>Grand Meadow</t>
  </si>
  <si>
    <t>Kandiyohi</t>
  </si>
  <si>
    <t>New Munich</t>
  </si>
  <si>
    <t>Centerville</t>
  </si>
  <si>
    <t>Green Isle</t>
  </si>
  <si>
    <t>Shafer</t>
  </si>
  <si>
    <t>Stacy</t>
  </si>
  <si>
    <t>Mountain Iron</t>
  </si>
  <si>
    <t>Breitung</t>
  </si>
  <si>
    <t>Floodwood</t>
  </si>
  <si>
    <t>Winton</t>
  </si>
  <si>
    <t>Bemidji</t>
  </si>
  <si>
    <t>Kelliher</t>
  </si>
  <si>
    <t>Cass Lake</t>
  </si>
  <si>
    <t>Walker</t>
  </si>
  <si>
    <t>Pillager</t>
  </si>
  <si>
    <t>Akeley</t>
  </si>
  <si>
    <t>North Kittson Rural Water</t>
  </si>
  <si>
    <t>Big Falls</t>
  </si>
  <si>
    <t>Northome</t>
  </si>
  <si>
    <t>Baudette</t>
  </si>
  <si>
    <t>Waubun</t>
  </si>
  <si>
    <t>Argyle</t>
  </si>
  <si>
    <t>Grygla</t>
  </si>
  <si>
    <t>Middle River</t>
  </si>
  <si>
    <t>Newfolden</t>
  </si>
  <si>
    <t>Joint Powers Water Board</t>
  </si>
  <si>
    <t>Bock</t>
  </si>
  <si>
    <t>Nashwauk</t>
  </si>
  <si>
    <t>Buhl</t>
  </si>
  <si>
    <t>Chaska</t>
  </si>
  <si>
    <t>Cologne</t>
  </si>
  <si>
    <t>Brooklyn Center</t>
  </si>
  <si>
    <t>Plato</t>
  </si>
  <si>
    <t>Winona</t>
  </si>
  <si>
    <t>DeGraff</t>
  </si>
  <si>
    <t>Winsted</t>
  </si>
  <si>
    <t>Henderson</t>
  </si>
  <si>
    <t>Grand Marais</t>
  </si>
  <si>
    <t>Bigfork</t>
  </si>
  <si>
    <t>Bovey</t>
  </si>
  <si>
    <t>Coleraine</t>
  </si>
  <si>
    <t>Grand Rapids</t>
  </si>
  <si>
    <t>Marble</t>
  </si>
  <si>
    <t>Taconite</t>
  </si>
  <si>
    <t>Warba</t>
  </si>
  <si>
    <t>Cohasset Municipal Water System</t>
  </si>
  <si>
    <t>Beaver Bay</t>
  </si>
  <si>
    <t>Silver Bay</t>
  </si>
  <si>
    <t>Two Harbors</t>
  </si>
  <si>
    <t>Askov</t>
  </si>
  <si>
    <t>Finlayson</t>
  </si>
  <si>
    <t>Pine City</t>
  </si>
  <si>
    <t>Sandstone</t>
  </si>
  <si>
    <t>Babbitt</t>
  </si>
  <si>
    <t>Biwabik</t>
  </si>
  <si>
    <t>Cook</t>
  </si>
  <si>
    <t>Duluth</t>
  </si>
  <si>
    <t>Ely</t>
  </si>
  <si>
    <t>Hoyt Lakes</t>
  </si>
  <si>
    <t>Kinney</t>
  </si>
  <si>
    <t>Raymond</t>
  </si>
  <si>
    <t>Loretto</t>
  </si>
  <si>
    <t>Mound</t>
  </si>
  <si>
    <t>Center City</t>
  </si>
  <si>
    <t>Princeton</t>
  </si>
  <si>
    <t>Chisago City</t>
  </si>
  <si>
    <t>Lexington</t>
  </si>
  <si>
    <t>Aitkin</t>
  </si>
  <si>
    <t>Foley</t>
  </si>
  <si>
    <t>Brainerd</t>
  </si>
  <si>
    <t>Ironton</t>
  </si>
  <si>
    <t>Dassel</t>
  </si>
  <si>
    <t>Little Falls</t>
  </si>
  <si>
    <t>Paynesville</t>
  </si>
  <si>
    <t>Richmond</t>
  </si>
  <si>
    <t>Saint Cloud</t>
  </si>
  <si>
    <t>Saint Joseph</t>
  </si>
  <si>
    <t>Buckman</t>
  </si>
  <si>
    <t>Randall</t>
  </si>
  <si>
    <t>Royalton</t>
  </si>
  <si>
    <t>Bowlus</t>
  </si>
  <si>
    <t>Brook Park</t>
  </si>
  <si>
    <t>Becker</t>
  </si>
  <si>
    <t>Chanhassen</t>
  </si>
  <si>
    <t>Hamburg</t>
  </si>
  <si>
    <t>Carver</t>
  </si>
  <si>
    <t>Cobden</t>
  </si>
  <si>
    <t>Norwood-Young America</t>
  </si>
  <si>
    <t>Andover</t>
  </si>
  <si>
    <t>Elko New Market</t>
  </si>
  <si>
    <t>Cokato</t>
  </si>
  <si>
    <t>Lansing Township</t>
  </si>
  <si>
    <t>Frost</t>
  </si>
  <si>
    <t>Delano Municipal Utilities</t>
  </si>
  <si>
    <t>Chokio</t>
  </si>
  <si>
    <t>Victoria</t>
  </si>
  <si>
    <t>Rockford</t>
  </si>
  <si>
    <t>Spring Lake Park</t>
  </si>
  <si>
    <t>Mahnomen</t>
  </si>
  <si>
    <t>Saint Francis</t>
  </si>
  <si>
    <t>Holloway</t>
  </si>
  <si>
    <t>Prior Lake</t>
  </si>
  <si>
    <t>Bagley</t>
  </si>
  <si>
    <t>Pennock</t>
  </si>
  <si>
    <t>Stewart</t>
  </si>
  <si>
    <t>Callaway</t>
  </si>
  <si>
    <t>Lake Lillian</t>
  </si>
  <si>
    <t>Belle Plaine</t>
  </si>
  <si>
    <t>Maple Plain</t>
  </si>
  <si>
    <t>Eden Prairie</t>
  </si>
  <si>
    <t>Montrose</t>
  </si>
  <si>
    <t>Cosmos</t>
  </si>
  <si>
    <t>Milroy</t>
  </si>
  <si>
    <t>Oronoco</t>
  </si>
  <si>
    <t>Harris</t>
  </si>
  <si>
    <t>Wolverton</t>
  </si>
  <si>
    <t>Elizabeth</t>
  </si>
  <si>
    <t>New Auburn</t>
  </si>
  <si>
    <t>Remer</t>
  </si>
  <si>
    <t>Osakis</t>
  </si>
  <si>
    <t>Skyline</t>
  </si>
  <si>
    <t>Sabin</t>
  </si>
  <si>
    <t>LaCrescent</t>
  </si>
  <si>
    <t>Saint Clair</t>
  </si>
  <si>
    <t>Milaca</t>
  </si>
  <si>
    <t>Madison Lake</t>
  </si>
  <si>
    <t>Bejou</t>
  </si>
  <si>
    <t>Baxter</t>
  </si>
  <si>
    <t>Isanti</t>
  </si>
  <si>
    <t>Watson</t>
  </si>
  <si>
    <t>McIntosh</t>
  </si>
  <si>
    <t>Albany</t>
  </si>
  <si>
    <t>Hartland</t>
  </si>
  <si>
    <t>Riverton</t>
  </si>
  <si>
    <t>Hadley</t>
  </si>
  <si>
    <t>New Germany</t>
  </si>
  <si>
    <t>Crosby</t>
  </si>
  <si>
    <t>Milan</t>
  </si>
  <si>
    <t>Annandale</t>
  </si>
  <si>
    <t>Okabena</t>
  </si>
  <si>
    <t>Norcross</t>
  </si>
  <si>
    <t>East Bethel</t>
  </si>
  <si>
    <t>Greenbush</t>
  </si>
  <si>
    <t>Ulen</t>
  </si>
  <si>
    <t>Belgrade</t>
  </si>
  <si>
    <t>Clarissa</t>
  </si>
  <si>
    <t>Erskine</t>
  </si>
  <si>
    <t>Bertha</t>
  </si>
  <si>
    <t>Oak Grove</t>
  </si>
  <si>
    <t>Bird Island</t>
  </si>
  <si>
    <t>Darwin</t>
  </si>
  <si>
    <t>Park Rapids</t>
  </si>
  <si>
    <t>Wendell</t>
  </si>
  <si>
    <t>Granite Falls</t>
  </si>
  <si>
    <t>Isle</t>
  </si>
  <si>
    <t>Blomkest</t>
  </si>
  <si>
    <t>Shelly</t>
  </si>
  <si>
    <t>Cyrus</t>
  </si>
  <si>
    <t>Herman</t>
  </si>
  <si>
    <t>Shoreview</t>
  </si>
  <si>
    <t>Lanesboro</t>
  </si>
  <si>
    <t>Saint Martin</t>
  </si>
  <si>
    <t>Avoca</t>
  </si>
  <si>
    <t>Biscay</t>
  </si>
  <si>
    <t>Crystal</t>
  </si>
  <si>
    <t>Nicollet</t>
  </si>
  <si>
    <t>Hackensack</t>
  </si>
  <si>
    <t>Stockton</t>
  </si>
  <si>
    <t>Kensington</t>
  </si>
  <si>
    <t>Lowry</t>
  </si>
  <si>
    <t>Garfield</t>
  </si>
  <si>
    <t>Ellendale</t>
  </si>
  <si>
    <t>Sturgeon Lake</t>
  </si>
  <si>
    <t>Carlos</t>
  </si>
  <si>
    <t>Gibbon</t>
  </si>
  <si>
    <t>Waltham</t>
  </si>
  <si>
    <t>Carlton</t>
  </si>
  <si>
    <t>Beardsley</t>
  </si>
  <si>
    <t>Moose Lake</t>
  </si>
  <si>
    <t>Alden</t>
  </si>
  <si>
    <t>Houston</t>
  </si>
  <si>
    <t>Tintah</t>
  </si>
  <si>
    <t>Pease</t>
  </si>
  <si>
    <t>Breckenridge</t>
  </si>
  <si>
    <t>Frazee</t>
  </si>
  <si>
    <t>Gary</t>
  </si>
  <si>
    <t>Winger</t>
  </si>
  <si>
    <t>Deerwood</t>
  </si>
  <si>
    <t>Verndale</t>
  </si>
  <si>
    <t>Rushmore</t>
  </si>
  <si>
    <t>Twin Lakes</t>
  </si>
  <si>
    <t>Ranier</t>
  </si>
  <si>
    <t>Trosky</t>
  </si>
  <si>
    <t>Watkins</t>
  </si>
  <si>
    <t>Stephen</t>
  </si>
  <si>
    <t>Fisher</t>
  </si>
  <si>
    <t>Echo</t>
  </si>
  <si>
    <t>Ogema</t>
  </si>
  <si>
    <t>Johnson</t>
  </si>
  <si>
    <t>Tyler</t>
  </si>
  <si>
    <t>Lancaster</t>
  </si>
  <si>
    <t>Hills</t>
  </si>
  <si>
    <t>Leota</t>
  </si>
  <si>
    <t>Hilltop</t>
  </si>
  <si>
    <t>Rice Lake</t>
  </si>
  <si>
    <t>Fairview Township Water Association</t>
  </si>
  <si>
    <t>Fayal Township</t>
  </si>
  <si>
    <t>Birchwood</t>
  </si>
  <si>
    <t>White Township</t>
  </si>
  <si>
    <t>Revere</t>
  </si>
  <si>
    <t>Myrtle</t>
  </si>
  <si>
    <t>Woodstock</t>
  </si>
  <si>
    <t>Freeborn</t>
  </si>
  <si>
    <t>Dovray</t>
  </si>
  <si>
    <t>Nassau</t>
  </si>
  <si>
    <t>New Hope</t>
  </si>
  <si>
    <t>Bigelow</t>
  </si>
  <si>
    <t>Dundee</t>
  </si>
  <si>
    <t>Kennedy</t>
  </si>
  <si>
    <t>Minneota</t>
  </si>
  <si>
    <t>Ivanhoe</t>
  </si>
  <si>
    <t>Taunton</t>
  </si>
  <si>
    <t>Garvin</t>
  </si>
  <si>
    <t>Roseville</t>
  </si>
  <si>
    <t>New London</t>
  </si>
  <si>
    <t>Russell</t>
  </si>
  <si>
    <t>Lynd</t>
  </si>
  <si>
    <t>Kittson-Marshall Rural Water System</t>
  </si>
  <si>
    <t>Proctor</t>
  </si>
  <si>
    <t>Steen</t>
  </si>
  <si>
    <t>Florence</t>
  </si>
  <si>
    <t>Oslo</t>
  </si>
  <si>
    <t>Ghent</t>
  </si>
  <si>
    <t>Arco</t>
  </si>
  <si>
    <t>Hardwick</t>
  </si>
  <si>
    <t>Lake Benton</t>
  </si>
  <si>
    <t>Evan</t>
  </si>
  <si>
    <t>Magnolia</t>
  </si>
  <si>
    <t>Holt</t>
  </si>
  <si>
    <t>Verdi</t>
  </si>
  <si>
    <t>Odin</t>
  </si>
  <si>
    <t>Lewisville</t>
  </si>
  <si>
    <t>Marietta</t>
  </si>
  <si>
    <t>Iron Junction</t>
  </si>
  <si>
    <t>Hendricks</t>
  </si>
  <si>
    <t>Lake Bronson</t>
  </si>
  <si>
    <t>Hermantown</t>
  </si>
  <si>
    <t>Trommald</t>
  </si>
  <si>
    <t>Kenneth</t>
  </si>
  <si>
    <t>Lismore</t>
  </si>
  <si>
    <t>Round Lake</t>
  </si>
  <si>
    <t>Porter</t>
  </si>
  <si>
    <t>Campbell</t>
  </si>
  <si>
    <t>Hazel Run</t>
  </si>
  <si>
    <t>LaPrairie</t>
  </si>
  <si>
    <t>Heron Lake</t>
  </si>
  <si>
    <t>Jeffers</t>
  </si>
  <si>
    <t>Ottertail</t>
  </si>
  <si>
    <t>Vesta</t>
  </si>
  <si>
    <t>Delft</t>
  </si>
  <si>
    <t>Storden</t>
  </si>
  <si>
    <t>Ihlen</t>
  </si>
  <si>
    <t>Hallock</t>
  </si>
  <si>
    <t>Spicer</t>
  </si>
  <si>
    <t>Alberta</t>
  </si>
  <si>
    <t>Darfur</t>
  </si>
  <si>
    <t>Walters</t>
  </si>
  <si>
    <t>Saint Augusta</t>
  </si>
  <si>
    <t>Ormsby</t>
  </si>
  <si>
    <t>Boyd</t>
  </si>
  <si>
    <t>Hatfield Municipal Water Supply</t>
  </si>
  <si>
    <t>Willernie</t>
  </si>
  <si>
    <t>Golden Valley</t>
  </si>
  <si>
    <t>Tower</t>
  </si>
  <si>
    <t>Butterfield</t>
  </si>
  <si>
    <t>Reading</t>
  </si>
  <si>
    <t>Viking</t>
  </si>
  <si>
    <t>Corcoran</t>
  </si>
  <si>
    <t>Kent</t>
  </si>
  <si>
    <t>Saint Leo</t>
  </si>
  <si>
    <t>Jasper</t>
  </si>
  <si>
    <t>Columbia Heights</t>
  </si>
  <si>
    <t>Manchester</t>
  </si>
  <si>
    <t>Osseo</t>
  </si>
  <si>
    <t>Wilder</t>
  </si>
  <si>
    <t>Wilmont</t>
  </si>
  <si>
    <t>Bingham Lake</t>
  </si>
  <si>
    <t>Arden Hills</t>
  </si>
  <si>
    <t>Dilworth</t>
  </si>
  <si>
    <t>Seaforth</t>
  </si>
  <si>
    <t>Little Canada</t>
  </si>
  <si>
    <t>Scanlon</t>
  </si>
  <si>
    <t>Maximum Daily Production (Gallons)</t>
  </si>
  <si>
    <t>Operating expenses</t>
  </si>
  <si>
    <t>Current Liabilities</t>
  </si>
  <si>
    <t>DWSRF Project 1 Cost</t>
  </si>
  <si>
    <t>DWSRF Project 2 Cost</t>
  </si>
  <si>
    <t>DWSRF Project 3 Cost</t>
  </si>
  <si>
    <t>DWSRF Project 4 Cost</t>
  </si>
  <si>
    <t>DWSRF Project 5 Cost</t>
  </si>
  <si>
    <t>Future Capital Costs</t>
  </si>
  <si>
    <t>Future Annualized Capital Costs using Formula</t>
  </si>
  <si>
    <t>Future Annualized Capital Costs using Annualization Factor</t>
  </si>
  <si>
    <t>Proportion of population below 150 percent</t>
  </si>
  <si>
    <t>Unemployment rate</t>
  </si>
  <si>
    <t>ADW</t>
  </si>
  <si>
    <t>MN0031186SD001</t>
  </si>
  <si>
    <t>AWW</t>
  </si>
  <si>
    <t>MN0051098SD001</t>
  </si>
  <si>
    <t>MN0025267SD002</t>
  </si>
  <si>
    <t>MN0022217SD002</t>
  </si>
  <si>
    <t>MN0025259SD005</t>
  </si>
  <si>
    <t>MN0025241SD001</t>
  </si>
  <si>
    <t>MN0021296SD003</t>
  </si>
  <si>
    <t>MN0025208SD003</t>
  </si>
  <si>
    <t>MN0020940SD001</t>
  </si>
  <si>
    <t>MN0020796SD003</t>
  </si>
  <si>
    <t>MN0021849SD003</t>
  </si>
  <si>
    <t>MN0025151SD002</t>
  </si>
  <si>
    <t>MN0030163SD002</t>
  </si>
  <si>
    <t>MN0021652SD001</t>
  </si>
  <si>
    <t>MN0022071SD002</t>
  </si>
  <si>
    <t>MN0021431SD004</t>
  </si>
  <si>
    <t>MN0024988SD005</t>
  </si>
  <si>
    <t>MN0024953SD003</t>
  </si>
  <si>
    <t>MNG580041SD002</t>
  </si>
  <si>
    <t>MN0024872SD002</t>
  </si>
  <si>
    <t>MN0024821SD001</t>
  </si>
  <si>
    <t>MN0024759SD002</t>
  </si>
  <si>
    <t>MN0024708SD002</t>
  </si>
  <si>
    <t>MN0029629SD001</t>
  </si>
  <si>
    <t>MN0020737SD002</t>
  </si>
  <si>
    <t>MN0063932SD001</t>
  </si>
  <si>
    <t>MN0054801SD001</t>
  </si>
  <si>
    <t>MN0022225SD002</t>
  </si>
  <si>
    <t>MN0066257SD001</t>
  </si>
  <si>
    <t>MN0020907SD002</t>
  </si>
  <si>
    <t>MN0024392SD002</t>
  </si>
  <si>
    <t>MN0021032SD002</t>
  </si>
  <si>
    <t>MN0020150SD001</t>
  </si>
  <si>
    <t>MN0065668SD001</t>
  </si>
  <si>
    <t>MN0021318SD003</t>
  </si>
  <si>
    <t>MN0020443SD003</t>
  </si>
  <si>
    <t>MN0024210SD003</t>
  </si>
  <si>
    <t>MN0020133SD003</t>
  </si>
  <si>
    <t>MN0020290SD002</t>
  </si>
  <si>
    <t>MN0066753SD001</t>
  </si>
  <si>
    <t>MN0056588SD001</t>
  </si>
  <si>
    <t>MN0021202SD001</t>
  </si>
  <si>
    <t>MN0022179SD001</t>
  </si>
  <si>
    <t>MN0051764SD002</t>
  </si>
  <si>
    <t>MN0024040SD003</t>
  </si>
  <si>
    <t>MN0020141SD002</t>
  </si>
  <si>
    <t>MN0031241SD003</t>
  </si>
  <si>
    <t>MN0066079SD001</t>
  </si>
  <si>
    <t>MN0023973SD001</t>
  </si>
  <si>
    <t>MN0023965SD001</t>
  </si>
  <si>
    <t>MN0023957SD002</t>
  </si>
  <si>
    <t>MN0020427SD002</t>
  </si>
  <si>
    <t>MN0023876SD001</t>
  </si>
  <si>
    <t>MN0020583SD001</t>
  </si>
  <si>
    <t>MN0020869SD001</t>
  </si>
  <si>
    <t>MN0055832SD001</t>
  </si>
  <si>
    <t>MN0023710SD002</t>
  </si>
  <si>
    <t>MN0025445SD004</t>
  </si>
  <si>
    <t>MN0023612SD002</t>
  </si>
  <si>
    <t>MN0022322SD003</t>
  </si>
  <si>
    <t>MN0023574SD002</t>
  </si>
  <si>
    <t>MN0020958SD001</t>
  </si>
  <si>
    <t>MN0020541SD001</t>
  </si>
  <si>
    <t>MN0022128SD001</t>
  </si>
  <si>
    <t>MN0030112SD001</t>
  </si>
  <si>
    <t>MN0023311SD002</t>
  </si>
  <si>
    <t>MNG580015SD002</t>
  </si>
  <si>
    <t>MNG580011SD002</t>
  </si>
  <si>
    <t>MN0021016SD002</t>
  </si>
  <si>
    <t>MN0020192SD002</t>
  </si>
  <si>
    <t>MN0067008SD001</t>
  </si>
  <si>
    <t>MN0021881SD002</t>
  </si>
  <si>
    <t>MN0023001SD002</t>
  </si>
  <si>
    <t>MN0020231SD003</t>
  </si>
  <si>
    <t>MN0021750SD001</t>
  </si>
  <si>
    <t>MN0022870SD001</t>
  </si>
  <si>
    <t>MN0020532SD001</t>
  </si>
  <si>
    <t>MN0021822SD002</t>
  </si>
  <si>
    <t>MN0022501SD001</t>
  </si>
  <si>
    <t>MN0047325SD002</t>
  </si>
  <si>
    <t>MNG580087SD001</t>
  </si>
  <si>
    <t>MN0020834SD002</t>
  </si>
  <si>
    <t>MN0021890SD001</t>
  </si>
  <si>
    <t>MN0022624SD002</t>
  </si>
  <si>
    <t>MN0021831SD001</t>
  </si>
  <si>
    <t>MN0050954SD002</t>
  </si>
  <si>
    <t>MN0041092SD001</t>
  </si>
  <si>
    <t>MNG580001SD001</t>
  </si>
  <si>
    <t>LONGITUDE</t>
  </si>
  <si>
    <t>LATITUDE</t>
  </si>
  <si>
    <t>Y_nad83</t>
  </si>
  <si>
    <t>X_nad83</t>
  </si>
  <si>
    <t>Annualized Capital and O&amp; M RO EOP</t>
  </si>
  <si>
    <t>Annualized Capital Cost - RO EOP</t>
  </si>
  <si>
    <t>Capital Cost RO EOP</t>
  </si>
  <si>
    <t>Type</t>
  </si>
  <si>
    <t>Design Flow (MGD)</t>
  </si>
  <si>
    <t>MNID</t>
  </si>
  <si>
    <t>Evaluation</t>
  </si>
  <si>
    <t>Median ratio for other firms in the industry</t>
  </si>
  <si>
    <t>Debt/equity ratio</t>
  </si>
  <si>
    <t>Owners' equity</t>
  </si>
  <si>
    <t>Long-term liabilities</t>
  </si>
  <si>
    <t>Leverage</t>
  </si>
  <si>
    <t>Beaver's Ratio</t>
  </si>
  <si>
    <t>Total debt</t>
  </si>
  <si>
    <t>Cash flow (do not remove depreciation from cash flow)</t>
  </si>
  <si>
    <t>Solvency (Beaver's ratio)</t>
  </si>
  <si>
    <t>Current Ratio</t>
  </si>
  <si>
    <t>Total</t>
  </si>
  <si>
    <t>Current portion of long term debt</t>
  </si>
  <si>
    <t>Taxes</t>
  </si>
  <si>
    <t>Accrued expenses</t>
  </si>
  <si>
    <t>Short term notes payable</t>
  </si>
  <si>
    <t>Wages payable</t>
  </si>
  <si>
    <t>Accounts payable</t>
  </si>
  <si>
    <t>Value of current liabilities</t>
  </si>
  <si>
    <t>Other</t>
  </si>
  <si>
    <t>Cash</t>
  </si>
  <si>
    <t>Marketable securities</t>
  </si>
  <si>
    <t>Accounts receivable</t>
  </si>
  <si>
    <t>Short term investment</t>
  </si>
  <si>
    <t>Prepaid expenses</t>
  </si>
  <si>
    <t>Inventories</t>
  </si>
  <si>
    <t>Value of current assets:</t>
  </si>
  <si>
    <t>Liquidity (Current ratio)</t>
  </si>
  <si>
    <t>Secondary ratio tests</t>
  </si>
  <si>
    <t>Median profit test for similar firms in the industry</t>
  </si>
  <si>
    <t>Predicted post-compliance Profit Test result</t>
  </si>
  <si>
    <t>Annual compliance costs to industrial producer</t>
  </si>
  <si>
    <t>Portion of total user fees currently paid by producer</t>
  </si>
  <si>
    <t>Current Profit Test result</t>
  </si>
  <si>
    <t>Current Revenues</t>
  </si>
  <si>
    <t>Current Earnings before taxes</t>
  </si>
  <si>
    <t xml:space="preserve">Profitability </t>
  </si>
  <si>
    <t>Enter corrections into this column:</t>
  </si>
  <si>
    <t>Profit test</t>
  </si>
  <si>
    <t>Enter the company's financial information below to provide a description of the financial conditions in terms of profitability, liquidity, solvency, and leverage.</t>
  </si>
  <si>
    <t>If your wastewater treatment plant or drinking water plant services a large private sector industrial facility which uses more than 10% of all water treated by the treatment plant, EPA guidance recommends that additional evidence regarding economic impact to these firms be submitted with your variance request.</t>
  </si>
  <si>
    <t>Financial impact analysis</t>
  </si>
  <si>
    <t>Households in City (2020)</t>
  </si>
  <si>
    <t>Population served (2020)</t>
  </si>
  <si>
    <t>Entity Name</t>
  </si>
  <si>
    <t>Cohasset</t>
  </si>
  <si>
    <t>Columbus</t>
  </si>
  <si>
    <t>De Graff</t>
  </si>
  <si>
    <t>Delano</t>
  </si>
  <si>
    <t>Hatfield</t>
  </si>
  <si>
    <t>La Crescent</t>
  </si>
  <si>
    <t>La Prairie</t>
  </si>
  <si>
    <t>La Salle</t>
  </si>
  <si>
    <t>Lakeland</t>
  </si>
  <si>
    <t>Saint Anthony</t>
  </si>
  <si>
    <t>Saint Paul</t>
  </si>
  <si>
    <t>Note: 2020 population from City and Special District report to match DW facility data; # households from US Census</t>
  </si>
  <si>
    <t>Total current costs (2021) (sum F-J)</t>
  </si>
  <si>
    <t>Annualized Capital Cost - inflation adjusted (2014-2021) - O&amp;M RO EOP</t>
  </si>
  <si>
    <t>Annualized Capital Cost - inflation adjusted (2014-2021) - RO EOP</t>
  </si>
  <si>
    <t>Used CPI inflation calculated for Jan 2014 to January 2021, which applied 111.7% inflation between the two years.</t>
  </si>
  <si>
    <t>*Required</t>
  </si>
  <si>
    <t>Anticipated grant funding:</t>
  </si>
  <si>
    <t>Estimate of additional operating and maintenance costs post-project at drinking water treatment plant:</t>
  </si>
  <si>
    <t>Additional capital costs:</t>
  </si>
  <si>
    <t>Percent of wastewater treatment user fees from residences*:</t>
  </si>
  <si>
    <t>Property tax collection rate*:</t>
  </si>
  <si>
    <r>
      <rPr>
        <b/>
        <sz val="10"/>
        <color indexed="8"/>
        <rFont val="Arial"/>
        <family val="2"/>
      </rPr>
      <t>Number of households</t>
    </r>
    <r>
      <rPr>
        <sz val="10"/>
        <color indexed="8"/>
        <rFont val="Arial"/>
        <family val="2"/>
      </rPr>
      <t xml:space="preserve"> who are not hooked up to drinking water*:</t>
    </r>
  </si>
  <si>
    <t>Please enter the following information:</t>
  </si>
  <si>
    <t>STEP 3</t>
  </si>
  <si>
    <t>Assumed payback period (years):</t>
  </si>
  <si>
    <t>Economic Assumptions:</t>
  </si>
  <si>
    <t>Does not include depreciation</t>
  </si>
  <si>
    <r>
      <t xml:space="preserve">Current operating and maintenance costs of your local </t>
    </r>
    <r>
      <rPr>
        <b/>
        <sz val="10"/>
        <color indexed="8"/>
        <rFont val="Arial"/>
        <family val="2"/>
      </rPr>
      <t>wastewater treatment plant</t>
    </r>
    <r>
      <rPr>
        <sz val="10"/>
        <color indexed="8"/>
        <rFont val="Arial"/>
        <family val="2"/>
      </rPr>
      <t>:</t>
    </r>
  </si>
  <si>
    <r>
      <t xml:space="preserve">Current operating and maintenance costs of your local </t>
    </r>
    <r>
      <rPr>
        <b/>
        <sz val="10"/>
        <color indexed="8"/>
        <rFont val="Arial"/>
        <family val="2"/>
      </rPr>
      <t>drinking water treatment plant</t>
    </r>
    <r>
      <rPr>
        <sz val="10"/>
        <color indexed="8"/>
        <rFont val="Arial"/>
        <family val="2"/>
      </rPr>
      <t>:</t>
    </r>
  </si>
  <si>
    <t>Estimated miles of current drinking water pipes:</t>
  </si>
  <si>
    <t>Property tax revenues as a percent of total market value of taxable property:</t>
  </si>
  <si>
    <t>Overall net debt as percent of total market value of taxable property:</t>
  </si>
  <si>
    <t>Bond rating</t>
  </si>
  <si>
    <t>Municpal Characteristics</t>
  </si>
  <si>
    <t>Number of households</t>
  </si>
  <si>
    <t>Median household income</t>
  </si>
  <si>
    <t>Demographic information</t>
  </si>
  <si>
    <t>Corresponding municipality you've selected:</t>
  </si>
  <si>
    <t>Wastewater treatment plant you've selected:</t>
  </si>
  <si>
    <t>Enter corrections in this column:</t>
  </si>
  <si>
    <t>Please verify the following information:</t>
  </si>
  <si>
    <t>STEP 2</t>
  </si>
  <si>
    <t>Please find your wastewater treatment plant name from the drop-down list:</t>
  </si>
  <si>
    <t>STEP 1</t>
  </si>
  <si>
    <t>Name 2</t>
  </si>
  <si>
    <t>Afton</t>
  </si>
  <si>
    <t>Aldrich</t>
  </si>
  <si>
    <t>Barry</t>
  </si>
  <si>
    <t>Bena</t>
  </si>
  <si>
    <t>Bethel</t>
  </si>
  <si>
    <t>Bluffton</t>
  </si>
  <si>
    <t>Boy River</t>
  </si>
  <si>
    <t>Breezy Point</t>
  </si>
  <si>
    <t>Brooks</t>
  </si>
  <si>
    <t>Brookston</t>
  </si>
  <si>
    <t>Brownsville</t>
  </si>
  <si>
    <t>Bruno</t>
  </si>
  <si>
    <t>Burtrum</t>
  </si>
  <si>
    <t>Cedar Mills</t>
  </si>
  <si>
    <t>Chickamaw Beach</t>
  </si>
  <si>
    <t>Circle Pines City</t>
  </si>
  <si>
    <t>Clitherall</t>
  </si>
  <si>
    <t>Clontarf</t>
  </si>
  <si>
    <t>Coates</t>
  </si>
  <si>
    <t>Crosslake</t>
  </si>
  <si>
    <t>Dakota</t>
  </si>
  <si>
    <t>Danvers</t>
  </si>
  <si>
    <t>Deephaven</t>
  </si>
  <si>
    <t>Degraff</t>
  </si>
  <si>
    <t>Dellwood</t>
  </si>
  <si>
    <t>Denham</t>
  </si>
  <si>
    <t>Dent</t>
  </si>
  <si>
    <t>Donaldson</t>
  </si>
  <si>
    <t>Doran</t>
  </si>
  <si>
    <t>East Gull Lake</t>
  </si>
  <si>
    <t>Effie</t>
  </si>
  <si>
    <t>Elmdale</t>
  </si>
  <si>
    <t>Elrosa</t>
  </si>
  <si>
    <t>Emily</t>
  </si>
  <si>
    <t>Erhard</t>
  </si>
  <si>
    <t>Falcon Heights</t>
  </si>
  <si>
    <t>Farwell</t>
  </si>
  <si>
    <t>Federal Dam</t>
  </si>
  <si>
    <t>Fifty Lakes</t>
  </si>
  <si>
    <t>Flensburg</t>
  </si>
  <si>
    <t>Forada</t>
  </si>
  <si>
    <t>Fort Ripley</t>
  </si>
  <si>
    <t>Foxhome</t>
  </si>
  <si>
    <t>Freeport</t>
  </si>
  <si>
    <t>Funkley</t>
  </si>
  <si>
    <t>Garrison</t>
  </si>
  <si>
    <t>Gem Lake</t>
  </si>
  <si>
    <t>Genola</t>
  </si>
  <si>
    <t>Gilman</t>
  </si>
  <si>
    <t>Goodview</t>
  </si>
  <si>
    <t>Grant</t>
  </si>
  <si>
    <t>Grasston</t>
  </si>
  <si>
    <t>Greenwald</t>
  </si>
  <si>
    <t>Greenwood</t>
  </si>
  <si>
    <t>Gully</t>
  </si>
  <si>
    <t>Halma</t>
  </si>
  <si>
    <t>Ham Lake</t>
  </si>
  <si>
    <t>Hanover</t>
  </si>
  <si>
    <t>Harding</t>
  </si>
  <si>
    <t>Heidelberg</t>
  </si>
  <si>
    <t>Henriette</t>
  </si>
  <si>
    <t>Hillman</t>
  </si>
  <si>
    <t>Humboldt</t>
  </si>
  <si>
    <t>Independence</t>
  </si>
  <si>
    <t>Jenkins</t>
  </si>
  <si>
    <t>Kerrick</t>
  </si>
  <si>
    <t>Kinbrae</t>
  </si>
  <si>
    <t>Kingston</t>
  </si>
  <si>
    <t>Lake Henry</t>
  </si>
  <si>
    <t>Lake Saint Croix Beach</t>
  </si>
  <si>
    <t>Lake Shore</t>
  </si>
  <si>
    <t>Lakeland Shore</t>
  </si>
  <si>
    <t>Landfall</t>
  </si>
  <si>
    <t>Laprairie</t>
  </si>
  <si>
    <t>Lastrup</t>
  </si>
  <si>
    <t>Lauderdale</t>
  </si>
  <si>
    <t>Lengby</t>
  </si>
  <si>
    <t>Leonard</t>
  </si>
  <si>
    <t>Leonidas</t>
  </si>
  <si>
    <t>Leroy</t>
  </si>
  <si>
    <t>Lilydale</t>
  </si>
  <si>
    <t>Long Beach</t>
  </si>
  <si>
    <t>Longville</t>
  </si>
  <si>
    <t>Louisburg</t>
  </si>
  <si>
    <t>Manhattan Beach</t>
  </si>
  <si>
    <t>Maplewood</t>
  </si>
  <si>
    <t>Marine-On-Saint Croix</t>
  </si>
  <si>
    <t>Mcgrath</t>
  </si>
  <si>
    <t>Mcgregor</t>
  </si>
  <si>
    <t>Mcintosh</t>
  </si>
  <si>
    <t>Mckinley</t>
  </si>
  <si>
    <t>Medicine Lake</t>
  </si>
  <si>
    <t>Meire Grove</t>
  </si>
  <si>
    <t>Mendota</t>
  </si>
  <si>
    <t>Mendota Heights</t>
  </si>
  <si>
    <t>Mentor</t>
  </si>
  <si>
    <t>Miesville</t>
  </si>
  <si>
    <t>Millerville</t>
  </si>
  <si>
    <t>Miltona</t>
  </si>
  <si>
    <t>Minneiska</t>
  </si>
  <si>
    <t>Mizpah</t>
  </si>
  <si>
    <t>Nashua</t>
  </si>
  <si>
    <t>Nelson</t>
  </si>
  <si>
    <t>Nimrod Village Of</t>
  </si>
  <si>
    <t>Nisswa</t>
  </si>
  <si>
    <t>North Oaks</t>
  </si>
  <si>
    <t>Nowthen</t>
  </si>
  <si>
    <t>Pierz</t>
  </si>
  <si>
    <t>Pine Springs</t>
  </si>
  <si>
    <t>Quamba</t>
  </si>
  <si>
    <t>Regal</t>
  </si>
  <si>
    <t>Richville</t>
  </si>
  <si>
    <t>Rock Creek</t>
  </si>
  <si>
    <t>Roosevelt</t>
  </si>
  <si>
    <t>Rutledge</t>
  </si>
  <si>
    <t>Saint Marys Point</t>
  </si>
  <si>
    <t>Saint Rosa</t>
  </si>
  <si>
    <t>Saint Stephen</t>
  </si>
  <si>
    <t>Saint Vincent</t>
  </si>
  <si>
    <t>Scandia</t>
  </si>
  <si>
    <t>Sedan</t>
  </si>
  <si>
    <t>Shevlin</t>
  </si>
  <si>
    <t>Sobieski</t>
  </si>
  <si>
    <t>Solway</t>
  </si>
  <si>
    <t>Spring Hill</t>
  </si>
  <si>
    <t>Squaw Lake</t>
  </si>
  <si>
    <t>St Clair</t>
  </si>
  <si>
    <t>St Francis</t>
  </si>
  <si>
    <t>Strathcona</t>
  </si>
  <si>
    <t>Sunburg</t>
  </si>
  <si>
    <t>Sunfish Lake</t>
  </si>
  <si>
    <t>Tamarack</t>
  </si>
  <si>
    <t>Taopi</t>
  </si>
  <si>
    <t>Tenstrike</t>
  </si>
  <si>
    <t>Trail</t>
  </si>
  <si>
    <t>Turtle River</t>
  </si>
  <si>
    <t>Urbank</t>
  </si>
  <si>
    <t>Villard</t>
  </si>
  <si>
    <t>Vining</t>
  </si>
  <si>
    <t>Wahkon</t>
  </si>
  <si>
    <t>West Saint Paul</t>
  </si>
  <si>
    <t>West Union</t>
  </si>
  <si>
    <t>Westport</t>
  </si>
  <si>
    <t>Whalan</t>
  </si>
  <si>
    <t>Williams</t>
  </si>
  <si>
    <t>Wilton</t>
  </si>
  <si>
    <t>Wolf Lake</t>
  </si>
  <si>
    <t>Woodland</t>
  </si>
  <si>
    <t>Wright</t>
  </si>
  <si>
    <t>Zemple</t>
  </si>
  <si>
    <r>
      <t xml:space="preserve">Debt service in 2021 for your local </t>
    </r>
    <r>
      <rPr>
        <b/>
        <sz val="10"/>
        <color indexed="8"/>
        <rFont val="Arial"/>
        <family val="2"/>
      </rPr>
      <t>drinking water treatment plant</t>
    </r>
    <r>
      <rPr>
        <sz val="10"/>
        <color indexed="8"/>
        <rFont val="Arial"/>
        <family val="2"/>
      </rPr>
      <t>:</t>
    </r>
  </si>
  <si>
    <r>
      <t xml:space="preserve">Debt service in 2021 for your local </t>
    </r>
    <r>
      <rPr>
        <b/>
        <sz val="10"/>
        <color indexed="8"/>
        <rFont val="Arial"/>
        <family val="2"/>
      </rPr>
      <t>wastewater treatment plant</t>
    </r>
    <r>
      <rPr>
        <sz val="10"/>
        <color indexed="8"/>
        <rFont val="Arial"/>
        <family val="2"/>
      </rPr>
      <t>:</t>
    </r>
  </si>
  <si>
    <t>GreenIsle</t>
  </si>
  <si>
    <t>HamLake</t>
  </si>
  <si>
    <t>HeronLake</t>
  </si>
  <si>
    <t>McGrath</t>
  </si>
  <si>
    <t>MooseLake</t>
  </si>
  <si>
    <t>Nimrod</t>
  </si>
  <si>
    <t>Birchwood Village</t>
  </si>
  <si>
    <t>Lakeland Shores</t>
  </si>
  <si>
    <t>Lake St.Croix Beach</t>
  </si>
  <si>
    <t>Le Roy</t>
  </si>
  <si>
    <t>Marine on St.Croix</t>
  </si>
  <si>
    <t>North St. Paul</t>
  </si>
  <si>
    <t>St. Anthony city (StearnsCounty), Minnesota</t>
  </si>
  <si>
    <t>St. Augusta</t>
  </si>
  <si>
    <t>St. Bonifacius</t>
  </si>
  <si>
    <t>St. Charles</t>
  </si>
  <si>
    <t>St. Clair</t>
  </si>
  <si>
    <t>St. Francis</t>
  </si>
  <si>
    <t>St. Hilaire</t>
  </si>
  <si>
    <t>St. James</t>
  </si>
  <si>
    <t>St. Joseph</t>
  </si>
  <si>
    <t>St. Leo</t>
  </si>
  <si>
    <t>St. LouisPark</t>
  </si>
  <si>
    <t>St. Martin</t>
  </si>
  <si>
    <t>St. MarysPoint</t>
  </si>
  <si>
    <t>St. Michael</t>
  </si>
  <si>
    <t>St. Paul</t>
  </si>
  <si>
    <t>St. PaulPark</t>
  </si>
  <si>
    <t>St. Peter</t>
  </si>
  <si>
    <t>St. Rosa</t>
  </si>
  <si>
    <t>St. Stephen</t>
  </si>
  <si>
    <t>St. Vincent</t>
  </si>
  <si>
    <t>South St. Paul</t>
  </si>
  <si>
    <t>West St.Paul</t>
  </si>
  <si>
    <t>Eligibility results</t>
  </si>
  <si>
    <t>Softening systems</t>
  </si>
  <si>
    <t>Lime Softening</t>
  </si>
  <si>
    <t>Reverse Osmosis</t>
  </si>
  <si>
    <t>End of Pipe Reverse Osmosis</t>
  </si>
  <si>
    <t>Projected capital costs for your community:</t>
  </si>
  <si>
    <t xml:space="preserve">Projected annual cost per household: </t>
  </si>
  <si>
    <t>Your Municipal Preliminary Screener estimate:</t>
  </si>
  <si>
    <t>Your Secondary Score estimate:</t>
  </si>
  <si>
    <t xml:space="preserve">Eligibility: </t>
  </si>
  <si>
    <t>How eligibility is determined:</t>
  </si>
  <si>
    <t>Municipal Screener</t>
  </si>
  <si>
    <t>Less than 1 percent</t>
  </si>
  <si>
    <t>Between 1 and 2 percent</t>
  </si>
  <si>
    <t>Greater than 2 percent</t>
  </si>
  <si>
    <t>Secondary score</t>
  </si>
  <si>
    <t>Uncertain - low cost and low affordability</t>
  </si>
  <si>
    <t>Eligible</t>
  </si>
  <si>
    <t>Less than 1.5</t>
  </si>
  <si>
    <t>Unlikely to be Eligible</t>
  </si>
  <si>
    <t>Uncertain - medium cost 
and medium affordability</t>
  </si>
  <si>
    <t>Between 1.5 and 2.5</t>
  </si>
  <si>
    <t>Uncertain - high cost but high affordability</t>
  </si>
  <si>
    <t>Greater than 2.5</t>
  </si>
  <si>
    <t>Final</t>
  </si>
  <si>
    <t>RO</t>
  </si>
  <si>
    <t>ROEOP</t>
  </si>
  <si>
    <t>Treatment plant characteristics</t>
  </si>
  <si>
    <t>Maximum gallons per day (in millions)</t>
  </si>
  <si>
    <t>capital cost per million gallons max</t>
  </si>
  <si>
    <t>Additional capital costs</t>
  </si>
  <si>
    <t>Total capital costs</t>
  </si>
  <si>
    <t>Grant funding</t>
  </si>
  <si>
    <t>Drinking water</t>
  </si>
  <si>
    <t>Current O&amp;M</t>
  </si>
  <si>
    <t>Future O&amp;M</t>
  </si>
  <si>
    <t>Future capital costs</t>
  </si>
  <si>
    <t>Attaching households to drinking water</t>
  </si>
  <si>
    <t>Households Served current by both WW and drinking water</t>
  </si>
  <si>
    <t>Households to be connected to drinking water</t>
  </si>
  <si>
    <t>Current miles of drinking water pipes</t>
  </si>
  <si>
    <t>Expected pipes to be laid</t>
  </si>
  <si>
    <t>Cost per mile of pipe</t>
  </si>
  <si>
    <t>Total cost for new pipe</t>
  </si>
  <si>
    <t>Cost per household for hookup</t>
  </si>
  <si>
    <t>Annualized cost for each household hookup</t>
  </si>
  <si>
    <t>Annualized cost for each household hookup (weighted by percent of households needing a hookup)</t>
  </si>
  <si>
    <t>Wastewater</t>
  </si>
  <si>
    <t>Current Liabilities (Debt Service)</t>
  </si>
  <si>
    <t>Subtotal annual costs</t>
  </si>
  <si>
    <t>Subtotal future costs annualized</t>
  </si>
  <si>
    <t>percent of user fees residential</t>
  </si>
  <si>
    <t>Annualization factor</t>
  </si>
  <si>
    <t>Annualized Cost</t>
  </si>
  <si>
    <t>margin of error in households</t>
  </si>
  <si>
    <t>Softener Removal Charge for households</t>
  </si>
  <si>
    <t>Annualized cost of softener removal per household</t>
  </si>
  <si>
    <t>Annualized cost per household</t>
  </si>
  <si>
    <t>Monthly cost per household</t>
  </si>
  <si>
    <t>median household income</t>
  </si>
  <si>
    <t>margin of error in median income</t>
  </si>
  <si>
    <t>RO EOP Costs</t>
  </si>
  <si>
    <t>Capital Costs</t>
  </si>
  <si>
    <t>Annualized  Capital &amp; O&amp;M</t>
  </si>
  <si>
    <t>Annualized Cost per household</t>
  </si>
  <si>
    <t>Municipal screener</t>
  </si>
  <si>
    <t>point estimate</t>
  </si>
  <si>
    <t>lower bound</t>
  </si>
  <si>
    <t>upper bound</t>
  </si>
  <si>
    <t>interest @ 4.7%</t>
  </si>
  <si>
    <t>Interest rate according to market rate in (2023):</t>
  </si>
  <si>
    <t>Interest rate according to market rate (2021):</t>
  </si>
  <si>
    <t>annualized cost with inflation factor</t>
  </si>
  <si>
    <t>Weak</t>
  </si>
  <si>
    <t>Mid</t>
  </si>
  <si>
    <t>Strong</t>
  </si>
  <si>
    <t>Indicators</t>
  </si>
  <si>
    <t>Score</t>
  </si>
  <si>
    <t>below BBB (S&amp;P) or Baa (Moody's)</t>
  </si>
  <si>
    <t>BBB (S&amp;P) or Baa (Moody's)</t>
  </si>
  <si>
    <t>above BBB (S&amp;P) or Baa (Moody's)</t>
  </si>
  <si>
    <t>State median income</t>
  </si>
  <si>
    <t>Overall Net Debt as Percent of Full Above Market Value of Taxable Property</t>
  </si>
  <si>
    <t>2%-5%</t>
  </si>
  <si>
    <t>Below 2%</t>
  </si>
  <si>
    <t>10% greater than median income</t>
  </si>
  <si>
    <t>Unemployment</t>
  </si>
  <si>
    <t>More than 1% above national average</t>
  </si>
  <si>
    <t>National average</t>
  </si>
  <si>
    <t>More than 1% below national average</t>
  </si>
  <si>
    <t>10% less than median income</t>
  </si>
  <si>
    <t>Median HH income</t>
  </si>
  <si>
    <t>More than 10% below state median</t>
  </si>
  <si>
    <t>State Median</t>
  </si>
  <si>
    <t>More than 10% above state median</t>
  </si>
  <si>
    <t>State unemployment rate</t>
  </si>
  <si>
    <t>Property Tax Revenues as a percent of full market value of taxable property</t>
  </si>
  <si>
    <t xml:space="preserve">2%-4% </t>
  </si>
  <si>
    <t>Property Tax Collection Rate</t>
  </si>
  <si>
    <t>&lt; 94%</t>
  </si>
  <si>
    <t xml:space="preserve">94% - 98% </t>
  </si>
  <si>
    <t>&gt; 98%</t>
  </si>
  <si>
    <t>index of secondary</t>
  </si>
  <si>
    <t>Overall score</t>
  </si>
  <si>
    <t>Index of municipal (lime)</t>
  </si>
  <si>
    <t>Overal score category:</t>
  </si>
  <si>
    <t>Eligibility (lime)</t>
  </si>
  <si>
    <t>Eligibility (RO)</t>
  </si>
  <si>
    <t>Municipal Screener (lime)</t>
  </si>
  <si>
    <t>Eligibility (RO EOP)</t>
  </si>
  <si>
    <t>Municipal Screener (RO)</t>
  </si>
  <si>
    <t>Index of municipal (RO)</t>
  </si>
  <si>
    <t>Municipal Screener category (lime)</t>
  </si>
  <si>
    <t>Index of municipal (ROEOP)</t>
  </si>
  <si>
    <t>Municipal Screener category (RO)</t>
  </si>
  <si>
    <t>Municipal Screener (ROEOP)</t>
  </si>
  <si>
    <t>Municipal screener category (ROEOP)</t>
  </si>
  <si>
    <t>Secondary Score</t>
  </si>
  <si>
    <t>Category</t>
  </si>
  <si>
    <t>X</t>
  </si>
  <si>
    <t>Y</t>
  </si>
  <si>
    <t>Z</t>
  </si>
  <si>
    <t>Uncertain - medium cost and medium affordability</t>
  </si>
  <si>
    <t>C</t>
  </si>
  <si>
    <t>ACS DP03 2020</t>
  </si>
  <si>
    <t>ACS S1901 2020</t>
  </si>
  <si>
    <t>By agreeing to a variance, I understand that our facility will be given enforceable final WQBELs and measurement-based interim chloride permit limits. I acknowledge that a variance is temporary and that I will be required to develop a chloride management plant that will allow my facility to come into compliance with the final chloride limits.</t>
  </si>
  <si>
    <r>
      <t xml:space="preserve">There are no known, uncontrolled industrial users in the wastewater collection network that are contributing to high effluent chloride concentrations. </t>
    </r>
    <r>
      <rPr>
        <i/>
        <sz val="10"/>
        <color theme="1"/>
        <rFont val="Arial"/>
        <family val="2"/>
      </rPr>
      <t>If there are industrial users that are suspected of contributing high chloride loads, identify those in the chloride variance request form (wq-wwprm2-10e). Any industrial users comprising 10% or more of the overall flow to the WWTF should be addressed in the "Ratio Analysis" tab.</t>
    </r>
  </si>
  <si>
    <t>Additional Evidence</t>
  </si>
  <si>
    <t>If the calculator determines that you are unlikely to be eligible or the eligibility is uncertain, you are encouraged to submit additional information to help us comprehensively consider your variance request.  The following questions are a guide to help you describe your community's economic conditions that might lead to a conclusion that compliance would lead to substantial and widespread impact.</t>
  </si>
  <si>
    <t>What is the percentage of households in your community within 150% of the federal poverty line?</t>
  </si>
  <si>
    <t>Describe how low-income, minority, or otherwise vulnerable populations will be disproportionately affected by pollution control costs.</t>
  </si>
  <si>
    <t>Additional information can be found using the MPCA's Environmental Justice data tool, https://mpca.maps.arcgis.com/apps/MapSeries/index.html?appid=f5bf57c8dac24404b7f8ef1717f57d00</t>
  </si>
  <si>
    <t>Widespread impact</t>
  </si>
  <si>
    <t xml:space="preserve">Define the relevant geographic area. </t>
  </si>
  <si>
    <t>Describe how pollution control costs will adversely affect employment, median income, and/or the poverty rate in your community.</t>
  </si>
  <si>
    <t>Describe how pollution control costs will affect tax revenues, demand for social services, and/or property values.</t>
  </si>
  <si>
    <t>Describe how pollution control will affect local community development and infrastructure.</t>
  </si>
  <si>
    <t>The purpose of this spreadsheet is to help municipalities implement the recommendations in EPA's Interim Economic Guidance for Water Quality Standards, Workbook (1995) to assess their eligibility for a chloride variance.
State regulations allow a variance to a state water quality standard if such a limit would result in substantial and widespread economic and social impacts [Minn. R. 7050.0190, subp. 4(A)(6)]. These rules reflect federal requirements found at 40 CFR 131.14, adopted in February 2016. The EPA developed guidance documents [EPA-823-B-95-002 Interim Economic Guidance for Water Quality Standards, Workbook (1995) and supplemental document EPA-800-B-21-001 Clean Water Act Financial Capability Assessment Guidance (February 2023)] to help states, tribes, and stakeholders evaluate the potential for substantial and widespread economic and social impacts (hereafter termed “The Guidance”). The Guidance recommends methods for calculating socioeconomic and financial indicators and ways to evaluate and interpret them.
The spreadsheet user begins by choosing the name of a wastewater treatment plant. This will automatically populate publicly available data necessary to calculate the scores used for assessing substantial impacts. Only facilities expected to have reasonable potential to exceed the Class 2 chloride water quality standards are included in this list. For facilities serving multiple major communities, there is a different version of the tool which evaluates variance eligibility for each community. For municipal facilities not represented on this list, additional information to support the variance request will be required.
The permittee must provide information about the municipality's current costs of drinking water and wastewater treatment and infrastructure. Once necessary information has been entered internal Excel equations calculate the Municipal Preliminary Screener and the Secondary Score, which collectively help to determine eligibility. The "Interface - Widespread Impacts" Tab allows the user to provide descriptive evidence widespread impacts on the economic conditions of the community if treatment technology contruction is required.
Instructions below outline how to use this workbook. 
*The hidden worksheet tabs include data sets from which the workbook calculator in the "Results" tab pulls information about the selected municipality. Only the "Start Here" tab and tabs labeled "Interface -" require input from the permittee. The permittee is welcome to browse the data sets and calculations tabs if they are curious about how the scores are estimated.</t>
  </si>
  <si>
    <t>Go to the "Interface - Substantial Impacts" tab. Under Step 1, find the name of your wastewater treatment plant from the drop down menu. You can also begin typing in the box to search for the name of your WWTP. Verify the information that was automatically populated with information publicly available about the relevant municipality (data included in Step 2). If you have more recent or specific information, manually overwrite the default values by typing the new value in the cell directly to the right of the autopopulated cell (Column J). After updating the necessary information, the calculator will present the Municipal Preliminary Screener and the Secondary Score in the blue box on the "Results" tab. Below the estimates for the two indices, the calculator will also output whether the municipality is eligibile or unlikely to be eligible for a variance, or whether the eligibility is uncertain. This is determined using the values of the Municipal Preliminary Screener and the Secondary Score to assess where in the Substantial Impact Matrix the municipality falls.
Though widespread impacts are not the main purpose of this screening tool, the spreadsheet provides additional opportunities for the user to begin the process of building a case for a variance beyond the eligiblity tool. Federal rules require that variances be granted only if the negative impacts are "substantial and widespread". Widespread effects are not easily condensed into indices in the way that substantial impacts are.
In order to determine whether or not the impacts are widespread, use the "Widespread impacts" tab to describe as specifically as possible the indirect effects on the economic health of the community as a result of immediate pollution control compliance. This exercise is for the benefit of the municipality to begin considering widespread impacts.
If your eligibility result for substantial impacts is Uncertain or Unlikely, and you believe that compliance would be too costly or infeasible for your community, you will have an opportunity to submit additional evidence. On the "Additional evidence" tab, answer as many of the questions as you can to describe the substantial and widespread impact that compliance will have on your community. Use quantitative measures whenever possible.</t>
  </si>
  <si>
    <t>ACS 2020</t>
  </si>
  <si>
    <t xml:space="preserve"> Interface - Substantial impacts</t>
  </si>
  <si>
    <t>Unlike the method of determining substantial impacts to public facilities, the determination of substantial impact to private firms is not clear-cut or precisely numerically-based. The Profit Test should be used first. If the Profit Test result indicates a significant decrease of profitability, especially compared to the industry average, the impacts could be considered substantial. There is no percentage threshold that can be used for all cases, however. If the Profit Test does not show substantial impact, move on to the Secondary ratios to provide evidence for substantial impact.</t>
  </si>
  <si>
    <t>Note: this figure is automatically populated based on Census Bureau information from your chosen municipality. You may change it manually if you believe this is incorrect.</t>
  </si>
  <si>
    <t>This worksheet allows the user to provide descriptive evidence that pollution control for chloride will have an adverse effect on the socioeconomic conditions of their community. Whenever possible, provide evidence using quantitative measures.</t>
  </si>
  <si>
    <r>
      <t xml:space="preserve"> EXAMPLE: </t>
    </r>
    <r>
      <rPr>
        <i/>
        <sz val="10"/>
        <color theme="0" tint="-0.499984740745262"/>
        <rFont val="Arial"/>
        <family val="2"/>
      </rPr>
      <t>Within the municipal boundaries under permittee's jurisdiction</t>
    </r>
  </si>
  <si>
    <r>
      <t xml:space="preserve">EXAMPLE: </t>
    </r>
    <r>
      <rPr>
        <i/>
        <sz val="10"/>
        <color theme="0" tint="-0.499984740745262"/>
        <rFont val="Arial"/>
        <family val="2"/>
      </rPr>
      <t>The pollution control costs would disproportionately affect users with incomes below the median household income. This is because users with lower incomes would be paying a higher percentage of their disposable income than users with larger disposable income. This could conceivably increase the poverty rate in the community. The unemployment rate could conceivably increase because there would be less cumulative disposable income in the local community available for circulation with the local economy.</t>
    </r>
  </si>
  <si>
    <r>
      <t xml:space="preserve">EXAMPLE: </t>
    </r>
    <r>
      <rPr>
        <i/>
        <sz val="10"/>
        <color theme="0" tint="-0.499984740745262"/>
        <rFont val="Arial"/>
        <family val="2"/>
      </rPr>
      <t>Point-of-entry water softeners are included in the assessment of a properties value. For example, a point-of-entry water softener is typically included in the sale price of a residence as an essential asset of the property. Consequently, there exists the potential for a residence to be asssessed at a lower value when a point-of-entry water softener is removed. This collective devaluation of property values could negatively impact property tax revenues.</t>
    </r>
  </si>
  <si>
    <r>
      <t xml:space="preserve">EXAMPLE: </t>
    </r>
    <r>
      <rPr>
        <i/>
        <sz val="10"/>
        <color theme="0" tint="-0.499984740745262"/>
        <rFont val="Arial"/>
        <family val="2"/>
      </rPr>
      <t>The pollution control measures could cause the local community to increase liabilities. The additional liabilities could decrease expenditures on non-water infrastructure and thus decrease community involvement.</t>
    </r>
  </si>
  <si>
    <t>2.       Building a centralized reverse osmosis (RO) softening treatment plant to provide soft water to users, AND</t>
  </si>
  <si>
    <t>3.       Taking point-of-entry ion-exchange softeners off line to reduce salt loading to the WWTP.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</si>
</sst>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quot;$&quot;#,##0"/>
    <numFmt numFmtId="167" formatCode="0.0000"/>
    <numFmt numFmtId="168" formatCode="&quot;$&quot;#,##0.00"/>
    <numFmt numFmtId="169" formatCode="0.0"/>
  </numFmts>
  <fonts count="39" x14ac:knownFonts="1">
    <font>
      <sz val="11"/>
      <color theme="1"/>
      <name val="Calibri"/>
      <family val="2"/>
      <scheme val="minor"/>
    </font>
    <font>
      <sz val="11"/>
      <name val="Calibri"/>
      <family val="2"/>
    </font>
    <font>
      <sz val="11"/>
      <color theme="1"/>
      <name val="Calibri"/>
      <family val="2"/>
      <scheme val="minor"/>
    </font>
    <font>
      <b/>
      <sz val="11"/>
      <color theme="1"/>
      <name val="Calibri"/>
      <family val="2"/>
      <scheme val="minor"/>
    </font>
    <font>
      <sz val="12"/>
      <color theme="1"/>
      <name val="Times New Roman"/>
      <family val="2"/>
    </font>
    <font>
      <b/>
      <sz val="11"/>
      <color indexed="8"/>
      <name val="Calibri"/>
      <family val="2"/>
    </font>
    <font>
      <sz val="11"/>
      <color rgb="FFFF0000"/>
      <name val="Calibri"/>
      <family val="2"/>
      <scheme val="minor"/>
    </font>
    <font>
      <sz val="11"/>
      <name val="Calibri"/>
      <family val="2"/>
      <scheme val="minor"/>
    </font>
    <font>
      <b/>
      <sz val="10"/>
      <color theme="1"/>
      <name val="Arial"/>
      <family val="2"/>
    </font>
    <font>
      <sz val="9"/>
      <color theme="1"/>
      <name val="Arial"/>
      <family val="2"/>
    </font>
    <font>
      <sz val="10"/>
      <color theme="1"/>
      <name val="Arial"/>
      <family val="2"/>
    </font>
    <font>
      <b/>
      <sz val="14"/>
      <color theme="1"/>
      <name val="Calibri"/>
      <family val="2"/>
      <scheme val="minor"/>
    </font>
    <font>
      <u/>
      <sz val="11"/>
      <color theme="10"/>
      <name val="Calibri"/>
      <family val="2"/>
      <scheme val="minor"/>
    </font>
    <font>
      <sz val="10"/>
      <color indexed="8"/>
      <name val="Arial"/>
      <family val="2"/>
    </font>
    <font>
      <b/>
      <sz val="10"/>
      <color indexed="8"/>
      <name val="Arial"/>
      <family val="2"/>
    </font>
    <font>
      <i/>
      <sz val="10"/>
      <color indexed="8"/>
      <name val="Arial"/>
      <family val="2"/>
    </font>
    <font>
      <b/>
      <sz val="9"/>
      <color indexed="81"/>
      <name val="Tahoma"/>
      <family val="2"/>
    </font>
    <font>
      <i/>
      <sz val="10"/>
      <color theme="1"/>
      <name val="Arial"/>
      <family val="2"/>
    </font>
    <font>
      <sz val="11"/>
      <color theme="1"/>
      <name val="Arial"/>
      <family val="2"/>
    </font>
    <font>
      <sz val="11"/>
      <color theme="1"/>
      <name val="Garamond"/>
      <family val="2"/>
    </font>
    <font>
      <b/>
      <sz val="14"/>
      <color theme="1"/>
      <name val="Arial"/>
      <family val="2"/>
    </font>
    <font>
      <b/>
      <sz val="11"/>
      <color rgb="FF000000"/>
      <name val="Calibri"/>
      <family val="2"/>
      <scheme val="minor"/>
    </font>
    <font>
      <sz val="11"/>
      <color indexed="8"/>
      <name val="Calibri"/>
      <family val="2"/>
      <scheme val="minor"/>
    </font>
    <font>
      <b/>
      <sz val="11"/>
      <color indexed="8"/>
      <name val="Calibri"/>
      <family val="2"/>
      <scheme val="minor"/>
    </font>
    <font>
      <sz val="11"/>
      <color indexed="8"/>
      <name val="Calibri"/>
      <family val="2"/>
    </font>
    <font>
      <b/>
      <sz val="11"/>
      <color theme="1"/>
      <name val="Arial"/>
      <family val="2"/>
    </font>
    <font>
      <b/>
      <sz val="12"/>
      <color theme="1"/>
      <name val="Arial"/>
      <family val="2"/>
    </font>
    <font>
      <b/>
      <u/>
      <sz val="12"/>
      <color theme="1"/>
      <name val="Times New Roman"/>
      <family val="1"/>
    </font>
    <font>
      <b/>
      <u/>
      <sz val="11"/>
      <color theme="1"/>
      <name val="Arial"/>
      <family val="2"/>
    </font>
    <font>
      <sz val="16"/>
      <color theme="1"/>
      <name val="Calibri"/>
      <family val="2"/>
      <scheme val="minor"/>
    </font>
    <font>
      <sz val="9"/>
      <color indexed="81"/>
      <name val="Tahoma"/>
      <family val="2"/>
    </font>
    <font>
      <sz val="10"/>
      <color indexed="81"/>
      <name val="Tahoma"/>
      <family val="2"/>
    </font>
    <font>
      <sz val="11"/>
      <name val="Arial"/>
      <family val="2"/>
    </font>
    <font>
      <sz val="10"/>
      <color theme="0" tint="-0.499984740745262"/>
      <name val="Arial"/>
      <family val="2"/>
    </font>
    <font>
      <sz val="16"/>
      <color theme="1"/>
      <name val="Trebuchet MS"/>
      <family val="2"/>
    </font>
    <font>
      <u/>
      <sz val="10"/>
      <color theme="10"/>
      <name val="Arial"/>
      <family val="2"/>
    </font>
    <font>
      <sz val="10"/>
      <color theme="1"/>
      <name val="Calibri"/>
      <family val="2"/>
      <scheme val="minor"/>
    </font>
    <font>
      <b/>
      <sz val="10"/>
      <color rgb="FFFF0000"/>
      <name val="Arial"/>
      <family val="2"/>
    </font>
    <font>
      <i/>
      <sz val="10"/>
      <color theme="0" tint="-0.499984740745262"/>
      <name val="Arial"/>
      <family val="2"/>
    </font>
  </fonts>
  <fills count="16">
    <fill>
      <patternFill patternType="none"/>
    </fill>
    <fill>
      <patternFill patternType="gray125"/>
    </fill>
    <fill>
      <patternFill patternType="solid">
        <fgColor theme="7" tint="0.7999816888943144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7"/>
        <bgColor indexed="64"/>
      </patternFill>
    </fill>
    <fill>
      <patternFill patternType="solid">
        <fgColor rgb="FF00B050"/>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2" tint="-9.9978637043366805E-2"/>
        <bgColor indexed="64"/>
      </patternFill>
    </fill>
    <fill>
      <patternFill patternType="solid">
        <fgColor indexed="22"/>
        <bgColor indexed="0"/>
      </patternFill>
    </fill>
    <fill>
      <patternFill patternType="solid">
        <fgColor theme="4" tint="0.79998168889431442"/>
        <bgColor indexed="64"/>
      </patternFill>
    </fill>
    <fill>
      <patternFill patternType="solid">
        <fgColor theme="0" tint="-4.9989318521683403E-2"/>
        <bgColor indexed="64"/>
      </patternFill>
    </fill>
  </fills>
  <borders count="2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8"/>
      </right>
      <top style="thin">
        <color indexed="8"/>
      </top>
      <bottom style="thin">
        <color indexed="8"/>
      </bottom>
      <diagonal/>
    </border>
    <border>
      <left/>
      <right style="thin">
        <color indexed="22"/>
      </right>
      <top style="thin">
        <color indexed="22"/>
      </top>
      <bottom style="thin">
        <color indexed="22"/>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thin">
        <color indexed="64"/>
      </top>
      <bottom/>
      <diagonal/>
    </border>
    <border>
      <left/>
      <right/>
      <top/>
      <bottom style="double">
        <color indexed="64"/>
      </bottom>
      <diagonal/>
    </border>
    <border>
      <left/>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s>
  <cellStyleXfs count="9">
    <xf numFmtId="0" fontId="0" fillId="0" borderId="0"/>
    <xf numFmtId="43" fontId="2" fillId="0" borderId="0" applyFont="0" applyFill="0" applyBorder="0" applyAlignment="0" applyProtection="0"/>
    <xf numFmtId="43" fontId="4" fillId="0" borderId="0" applyFont="0" applyFill="0" applyBorder="0" applyAlignment="0" applyProtection="0"/>
    <xf numFmtId="0" fontId="12" fillId="0" borderId="0" applyNumberFormat="0" applyFill="0" applyBorder="0" applyAlignment="0" applyProtection="0"/>
    <xf numFmtId="0" fontId="19" fillId="0" borderId="0"/>
    <xf numFmtId="0" fontId="22" fillId="0" borderId="0"/>
    <xf numFmtId="0" fontId="13" fillId="0" borderId="0"/>
    <xf numFmtId="44" fontId="2" fillId="0" borderId="0" applyFont="0" applyFill="0" applyBorder="0" applyAlignment="0" applyProtection="0"/>
    <xf numFmtId="9" fontId="2" fillId="0" borderId="0" applyFont="0" applyFill="0" applyBorder="0" applyAlignment="0" applyProtection="0"/>
  </cellStyleXfs>
  <cellXfs count="294">
    <xf numFmtId="0" fontId="0" fillId="0" borderId="0" xfId="0"/>
    <xf numFmtId="10" fontId="0" fillId="0" borderId="0" xfId="0" applyNumberFormat="1"/>
    <xf numFmtId="10" fontId="0" fillId="0" borderId="0" xfId="0" applyNumberFormat="1" applyAlignment="1">
      <alignment wrapText="1"/>
    </xf>
    <xf numFmtId="0" fontId="0" fillId="0" borderId="0" xfId="0" applyAlignment="1">
      <alignment wrapText="1"/>
    </xf>
    <xf numFmtId="0" fontId="1" fillId="0" borderId="0" xfId="0" applyFont="1" applyFill="1" applyAlignment="1">
      <alignment horizontal="left" wrapText="1"/>
    </xf>
    <xf numFmtId="49" fontId="0" fillId="0" borderId="0" xfId="0" applyNumberFormat="1"/>
    <xf numFmtId="3" fontId="0" fillId="0" borderId="0" xfId="0" applyNumberFormat="1"/>
    <xf numFmtId="0" fontId="0" fillId="2" borderId="0" xfId="0" applyFill="1"/>
    <xf numFmtId="164" fontId="2" fillId="0" borderId="2" xfId="1" applyNumberFormat="1" applyFont="1" applyFill="1" applyBorder="1" applyAlignment="1">
      <alignment horizontal="center" wrapText="1"/>
    </xf>
    <xf numFmtId="0" fontId="0" fillId="0" borderId="2" xfId="0" applyBorder="1"/>
    <xf numFmtId="0" fontId="0" fillId="0" borderId="2" xfId="0" applyBorder="1" applyAlignment="1">
      <alignment horizontal="center"/>
    </xf>
    <xf numFmtId="0" fontId="0" fillId="0" borderId="2" xfId="0" applyBorder="1" applyAlignment="1">
      <alignment horizontal="center" vertical="center"/>
    </xf>
    <xf numFmtId="0" fontId="3" fillId="0" borderId="0" xfId="0" applyFont="1"/>
    <xf numFmtId="2" fontId="3" fillId="0" borderId="0" xfId="0" applyNumberFormat="1" applyFont="1"/>
    <xf numFmtId="164" fontId="3" fillId="0" borderId="0" xfId="2" applyNumberFormat="1" applyFont="1" applyFill="1"/>
    <xf numFmtId="0" fontId="0" fillId="0" borderId="0" xfId="0" applyAlignment="1">
      <alignment horizontal="left"/>
    </xf>
    <xf numFmtId="0" fontId="6" fillId="0" borderId="0" xfId="0" applyFont="1"/>
    <xf numFmtId="0" fontId="0" fillId="0" borderId="0" xfId="0" applyFill="1"/>
    <xf numFmtId="0" fontId="7" fillId="3" borderId="0" xfId="0" applyFont="1" applyFill="1"/>
    <xf numFmtId="0" fontId="0" fillId="3" borderId="0" xfId="0" applyFill="1"/>
    <xf numFmtId="164" fontId="0" fillId="3" borderId="0" xfId="2" applyNumberFormat="1" applyFont="1" applyFill="1"/>
    <xf numFmtId="0" fontId="7" fillId="4" borderId="0" xfId="0" applyFont="1" applyFill="1"/>
    <xf numFmtId="0" fontId="0" fillId="5" borderId="0" xfId="0" applyFill="1"/>
    <xf numFmtId="0" fontId="7" fillId="6" borderId="0" xfId="0" applyFont="1" applyFill="1"/>
    <xf numFmtId="0" fontId="6" fillId="3" borderId="0" xfId="0" applyFont="1" applyFill="1"/>
    <xf numFmtId="0" fontId="7" fillId="2" borderId="0" xfId="0" applyFont="1" applyFill="1"/>
    <xf numFmtId="0" fontId="0" fillId="7" borderId="0" xfId="0" applyFill="1"/>
    <xf numFmtId="0" fontId="7" fillId="8" borderId="0" xfId="0" applyFont="1" applyFill="1"/>
    <xf numFmtId="0" fontId="0" fillId="8" borderId="0" xfId="0" applyFill="1"/>
    <xf numFmtId="0" fontId="0" fillId="9" borderId="0" xfId="0" applyFill="1"/>
    <xf numFmtId="0" fontId="7" fillId="9" borderId="0" xfId="0" applyFont="1" applyFill="1"/>
    <xf numFmtId="165" fontId="0" fillId="0" borderId="0" xfId="0" applyNumberFormat="1" applyFill="1" applyAlignment="1">
      <alignment wrapText="1"/>
    </xf>
    <xf numFmtId="165" fontId="0" fillId="0" borderId="0" xfId="0" applyNumberFormat="1" applyFill="1"/>
    <xf numFmtId="0" fontId="8" fillId="0" borderId="0" xfId="0" applyFont="1" applyAlignment="1">
      <alignment vertical="center"/>
    </xf>
    <xf numFmtId="0" fontId="9" fillId="0" borderId="0" xfId="0" applyFont="1"/>
    <xf numFmtId="0" fontId="10" fillId="0" borderId="0" xfId="0" applyFont="1"/>
    <xf numFmtId="0" fontId="10" fillId="0" borderId="0" xfId="0" applyFont="1" applyAlignment="1">
      <alignment wrapText="1"/>
    </xf>
    <xf numFmtId="0" fontId="10" fillId="0" borderId="0" xfId="0" applyFont="1" applyAlignment="1">
      <alignment vertical="center" wrapText="1"/>
    </xf>
    <xf numFmtId="0" fontId="10" fillId="0" borderId="0" xfId="0" applyFont="1" applyAlignment="1">
      <alignment horizontal="left" vertical="center" indent="5"/>
    </xf>
    <xf numFmtId="0" fontId="10" fillId="0" borderId="0" xfId="0" applyFont="1" applyAlignment="1">
      <alignment vertical="top"/>
    </xf>
    <xf numFmtId="0" fontId="0" fillId="0" borderId="0" xfId="0"/>
    <xf numFmtId="0" fontId="0" fillId="10" borderId="0" xfId="0" applyFill="1"/>
    <xf numFmtId="49" fontId="0" fillId="10" borderId="0" xfId="0" applyNumberFormat="1" applyFill="1"/>
    <xf numFmtId="0" fontId="0" fillId="0" borderId="0" xfId="0"/>
    <xf numFmtId="0" fontId="18" fillId="0" borderId="0" xfId="0" applyFont="1"/>
    <xf numFmtId="49" fontId="0" fillId="0" borderId="0" xfId="0" applyNumberFormat="1" applyFill="1"/>
    <xf numFmtId="3" fontId="0" fillId="0" borderId="0" xfId="0" applyNumberFormat="1" applyFill="1"/>
    <xf numFmtId="10" fontId="0" fillId="0" borderId="0" xfId="0" applyNumberFormat="1" applyFill="1"/>
    <xf numFmtId="0" fontId="0" fillId="0" borderId="2" xfId="0" applyFill="1" applyBorder="1"/>
    <xf numFmtId="49" fontId="0" fillId="9" borderId="0" xfId="0" applyNumberFormat="1" applyFill="1"/>
    <xf numFmtId="3" fontId="0" fillId="9" borderId="0" xfId="0" applyNumberFormat="1" applyFill="1"/>
    <xf numFmtId="10" fontId="0" fillId="9" borderId="0" xfId="0" applyNumberFormat="1" applyFill="1"/>
    <xf numFmtId="165" fontId="0" fillId="9" borderId="0" xfId="0" applyNumberFormat="1" applyFill="1"/>
    <xf numFmtId="0" fontId="0" fillId="9" borderId="2" xfId="0" applyFill="1" applyBorder="1"/>
    <xf numFmtId="0" fontId="0" fillId="11" borderId="0" xfId="0" applyFill="1"/>
    <xf numFmtId="49" fontId="0" fillId="11" borderId="0" xfId="0" applyNumberFormat="1" applyFill="1"/>
    <xf numFmtId="3" fontId="0" fillId="11" borderId="0" xfId="0" applyNumberFormat="1" applyFill="1"/>
    <xf numFmtId="10" fontId="0" fillId="11" borderId="0" xfId="0" applyNumberFormat="1" applyFill="1"/>
    <xf numFmtId="165" fontId="0" fillId="11" borderId="0" xfId="0" applyNumberFormat="1" applyFill="1"/>
    <xf numFmtId="0" fontId="0" fillId="11" borderId="2" xfId="0" applyFill="1" applyBorder="1"/>
    <xf numFmtId="0" fontId="0" fillId="4" borderId="0" xfId="0" applyFill="1"/>
    <xf numFmtId="0" fontId="6" fillId="4" borderId="0" xfId="0" applyFont="1" applyFill="1"/>
    <xf numFmtId="0" fontId="6" fillId="0" borderId="0" xfId="0" applyFont="1" applyFill="1"/>
    <xf numFmtId="164" fontId="3" fillId="0" borderId="0" xfId="2" applyNumberFormat="1" applyFont="1" applyFill="1" applyAlignment="1">
      <alignment horizontal="left" vertical="center" wrapText="1"/>
    </xf>
    <xf numFmtId="0" fontId="21" fillId="0" borderId="0" xfId="0" applyFont="1"/>
    <xf numFmtId="0" fontId="21" fillId="0" borderId="0" xfId="0" applyFont="1" applyAlignment="1">
      <alignment wrapText="1"/>
    </xf>
    <xf numFmtId="0" fontId="0" fillId="0" borderId="0" xfId="0"/>
    <xf numFmtId="0" fontId="3" fillId="0" borderId="0" xfId="0" applyFont="1" applyAlignment="1">
      <alignment wrapText="1"/>
    </xf>
    <xf numFmtId="164" fontId="0" fillId="0" borderId="0" xfId="2" applyNumberFormat="1" applyFont="1"/>
    <xf numFmtId="164" fontId="0" fillId="10" borderId="0" xfId="2" applyNumberFormat="1" applyFont="1" applyFill="1"/>
    <xf numFmtId="0" fontId="0" fillId="0" borderId="0" xfId="0" applyFill="1" applyAlignment="1">
      <alignment wrapText="1"/>
    </xf>
    <xf numFmtId="166" fontId="23" fillId="0" borderId="0" xfId="5" applyNumberFormat="1" applyFont="1" applyAlignment="1">
      <alignment horizontal="center" wrapText="1"/>
    </xf>
    <xf numFmtId="167" fontId="0" fillId="0" borderId="0" xfId="0" applyNumberFormat="1" applyAlignment="1">
      <alignment wrapText="1"/>
    </xf>
    <xf numFmtId="2" fontId="0" fillId="0" borderId="0" xfId="0" applyNumberFormat="1"/>
    <xf numFmtId="0" fontId="0" fillId="0" borderId="0" xfId="0" applyNumberFormat="1" applyFill="1"/>
    <xf numFmtId="0" fontId="0" fillId="0" borderId="0" xfId="1" applyNumberFormat="1" applyFont="1" applyFill="1"/>
    <xf numFmtId="0" fontId="0" fillId="9" borderId="0" xfId="1" applyNumberFormat="1" applyFont="1" applyFill="1"/>
    <xf numFmtId="0" fontId="0" fillId="11" borderId="0" xfId="1" applyNumberFormat="1" applyFont="1" applyFill="1"/>
    <xf numFmtId="0" fontId="0" fillId="0" borderId="0" xfId="1" applyNumberFormat="1" applyFont="1"/>
    <xf numFmtId="0" fontId="0" fillId="2" borderId="0" xfId="0" applyNumberFormat="1" applyFill="1"/>
    <xf numFmtId="0" fontId="0" fillId="0" borderId="0" xfId="0" applyNumberFormat="1" applyAlignment="1">
      <alignment wrapText="1"/>
    </xf>
    <xf numFmtId="0" fontId="0" fillId="0" borderId="0" xfId="0" applyNumberFormat="1"/>
    <xf numFmtId="0" fontId="0" fillId="9" borderId="0" xfId="0" applyNumberFormat="1" applyFill="1"/>
    <xf numFmtId="0" fontId="0" fillId="11" borderId="0" xfId="0" applyNumberFormat="1" applyFill="1"/>
    <xf numFmtId="0" fontId="21" fillId="0" borderId="0" xfId="0" applyNumberFormat="1" applyFont="1"/>
    <xf numFmtId="0" fontId="0" fillId="0" borderId="0" xfId="2" applyNumberFormat="1" applyFont="1"/>
    <xf numFmtId="0" fontId="0" fillId="10" borderId="0" xfId="0" applyNumberFormat="1" applyFill="1"/>
    <xf numFmtId="0" fontId="7" fillId="0" borderId="0" xfId="0" applyNumberFormat="1" applyFont="1" applyFill="1"/>
    <xf numFmtId="0" fontId="0" fillId="0" borderId="0" xfId="0" applyAlignment="1">
      <alignment horizontal="center"/>
    </xf>
    <xf numFmtId="0" fontId="24" fillId="0" borderId="7" xfId="6" applyFont="1" applyBorder="1" applyAlignment="1">
      <alignment horizontal="right" wrapText="1"/>
    </xf>
    <xf numFmtId="168" fontId="0" fillId="0" borderId="2" xfId="0" applyNumberFormat="1" applyBorder="1" applyAlignment="1">
      <alignment horizontal="center"/>
    </xf>
    <xf numFmtId="8" fontId="0" fillId="0" borderId="2" xfId="0" applyNumberFormat="1" applyBorder="1" applyAlignment="1">
      <alignment horizontal="center"/>
    </xf>
    <xf numFmtId="8" fontId="0" fillId="12" borderId="2" xfId="0" applyNumberFormat="1" applyFill="1" applyBorder="1" applyAlignment="1">
      <alignment horizontal="center"/>
    </xf>
    <xf numFmtId="0" fontId="0" fillId="12" borderId="2" xfId="0" applyFill="1" applyBorder="1" applyAlignment="1">
      <alignment horizontal="center"/>
    </xf>
    <xf numFmtId="0" fontId="24" fillId="13" borderId="8" xfId="6" applyFont="1" applyFill="1" applyBorder="1" applyAlignment="1">
      <alignment horizontal="center"/>
    </xf>
    <xf numFmtId="0" fontId="3" fillId="0" borderId="2" xfId="0" applyFont="1" applyBorder="1" applyAlignment="1">
      <alignment horizontal="center"/>
    </xf>
    <xf numFmtId="0" fontId="3" fillId="12" borderId="2" xfId="0" applyFont="1" applyFill="1" applyBorder="1" applyAlignment="1">
      <alignment horizontal="center" wrapText="1"/>
    </xf>
    <xf numFmtId="0" fontId="18" fillId="0" borderId="0" xfId="0" applyFont="1" applyAlignment="1">
      <alignment horizontal="right"/>
    </xf>
    <xf numFmtId="0" fontId="25" fillId="0" borderId="0" xfId="0" applyFont="1"/>
    <xf numFmtId="0" fontId="26" fillId="0" borderId="0" xfId="0" applyFont="1" applyAlignment="1">
      <alignment horizontal="left"/>
    </xf>
    <xf numFmtId="0" fontId="20" fillId="0" borderId="0" xfId="0" applyFont="1"/>
    <xf numFmtId="164" fontId="27" fillId="0" borderId="0" xfId="2" applyNumberFormat="1" applyFont="1"/>
    <xf numFmtId="0" fontId="27" fillId="0" borderId="0" xfId="0" applyFont="1"/>
    <xf numFmtId="0" fontId="0" fillId="0" borderId="0" xfId="0"/>
    <xf numFmtId="0" fontId="0" fillId="0" borderId="0" xfId="2" applyNumberFormat="1" applyFont="1"/>
    <xf numFmtId="0" fontId="0" fillId="10" borderId="0" xfId="2" applyNumberFormat="1" applyFont="1" applyFill="1"/>
    <xf numFmtId="0" fontId="0" fillId="0" borderId="0" xfId="2" applyNumberFormat="1" applyFont="1" applyFill="1"/>
    <xf numFmtId="164" fontId="7" fillId="0" borderId="0" xfId="2" applyNumberFormat="1" applyFont="1"/>
    <xf numFmtId="0" fontId="0" fillId="0" borderId="0" xfId="0"/>
    <xf numFmtId="0" fontId="0" fillId="10" borderId="0" xfId="0" applyFill="1"/>
    <xf numFmtId="0" fontId="21" fillId="0" borderId="0" xfId="0" applyFont="1" applyAlignment="1">
      <alignment wrapText="1"/>
    </xf>
    <xf numFmtId="0" fontId="0" fillId="0" borderId="0" xfId="0" applyAlignment="1">
      <alignment wrapText="1"/>
    </xf>
    <xf numFmtId="3" fontId="0" fillId="0" borderId="0" xfId="0" applyNumberFormat="1" applyAlignment="1">
      <alignment wrapText="1"/>
    </xf>
    <xf numFmtId="0" fontId="0" fillId="10" borderId="0" xfId="0" applyFill="1" applyAlignment="1">
      <alignment wrapText="1"/>
    </xf>
    <xf numFmtId="3" fontId="0" fillId="10" borderId="0" xfId="0" applyNumberFormat="1" applyFill="1" applyAlignment="1">
      <alignment wrapText="1"/>
    </xf>
    <xf numFmtId="0" fontId="7" fillId="0" borderId="0" xfId="0" applyFont="1"/>
    <xf numFmtId="0" fontId="0" fillId="0" borderId="0" xfId="0"/>
    <xf numFmtId="0" fontId="24" fillId="13" borderId="13" xfId="6" applyFont="1" applyFill="1" applyBorder="1" applyAlignment="1">
      <alignment horizontal="center"/>
    </xf>
    <xf numFmtId="0" fontId="24" fillId="0" borderId="14" xfId="6" applyFont="1" applyBorder="1" applyAlignment="1">
      <alignment horizontal="right" wrapText="1"/>
    </xf>
    <xf numFmtId="0" fontId="0" fillId="0" borderId="0" xfId="0"/>
    <xf numFmtId="0" fontId="10" fillId="0" borderId="15" xfId="0" applyFont="1" applyBorder="1"/>
    <xf numFmtId="9" fontId="10" fillId="0" borderId="0" xfId="8" applyFont="1" applyBorder="1"/>
    <xf numFmtId="9" fontId="10" fillId="0" borderId="15" xfId="8" applyFont="1" applyFill="1" applyBorder="1"/>
    <xf numFmtId="0" fontId="28" fillId="0" borderId="0" xfId="0" applyFont="1"/>
    <xf numFmtId="0" fontId="18" fillId="0" borderId="17" xfId="0" applyFont="1" applyBorder="1"/>
    <xf numFmtId="10" fontId="10" fillId="0" borderId="18" xfId="0" applyNumberFormat="1" applyFont="1" applyBorder="1" applyAlignment="1">
      <alignment horizontal="center"/>
    </xf>
    <xf numFmtId="0" fontId="10" fillId="0" borderId="18" xfId="0" applyFont="1" applyBorder="1" applyAlignment="1">
      <alignment horizontal="right"/>
    </xf>
    <xf numFmtId="0" fontId="10" fillId="0" borderId="2" xfId="0" applyFont="1" applyBorder="1"/>
    <xf numFmtId="0" fontId="8" fillId="0" borderId="0" xfId="0" applyFont="1"/>
    <xf numFmtId="10" fontId="10" fillId="0" borderId="2" xfId="0" applyNumberFormat="1" applyFont="1" applyBorder="1" applyAlignment="1">
      <alignment horizontal="center"/>
    </xf>
    <xf numFmtId="0" fontId="10" fillId="0" borderId="2" xfId="0" applyFont="1" applyBorder="1" applyAlignment="1">
      <alignment horizontal="center"/>
    </xf>
    <xf numFmtId="0" fontId="8" fillId="0" borderId="2" xfId="0" applyFont="1" applyBorder="1"/>
    <xf numFmtId="169" fontId="10" fillId="0" borderId="0" xfId="0" applyNumberFormat="1" applyFont="1" applyAlignment="1">
      <alignment horizontal="center"/>
    </xf>
    <xf numFmtId="10" fontId="10" fillId="0" borderId="0" xfId="0" applyNumberFormat="1" applyFont="1" applyAlignment="1">
      <alignment horizontal="center"/>
    </xf>
    <xf numFmtId="9" fontId="10" fillId="0" borderId="2" xfId="8" applyFont="1" applyBorder="1" applyAlignment="1">
      <alignment horizontal="center"/>
    </xf>
    <xf numFmtId="165" fontId="10" fillId="0" borderId="0" xfId="8" applyNumberFormat="1" applyFont="1" applyAlignment="1">
      <alignment horizontal="center"/>
    </xf>
    <xf numFmtId="0" fontId="18" fillId="0" borderId="0" xfId="0" applyFont="1" applyAlignment="1">
      <alignment horizontal="center"/>
    </xf>
    <xf numFmtId="0" fontId="18" fillId="0" borderId="18" xfId="0" applyFont="1" applyBorder="1"/>
    <xf numFmtId="0" fontId="29" fillId="0" borderId="0" xfId="0" applyFont="1"/>
    <xf numFmtId="0" fontId="29" fillId="0" borderId="5" xfId="0" applyFont="1" applyBorder="1"/>
    <xf numFmtId="0" fontId="11" fillId="0" borderId="5" xfId="0" applyFont="1" applyBorder="1"/>
    <xf numFmtId="49" fontId="1" fillId="0" borderId="0" xfId="0" applyNumberFormat="1" applyFont="1" applyAlignment="1">
      <alignment vertical="center" wrapText="1"/>
    </xf>
    <xf numFmtId="0" fontId="10" fillId="0" borderId="0" xfId="0" applyNumberFormat="1" applyFont="1" applyFill="1" applyAlignment="1">
      <alignment horizontal="center"/>
    </xf>
    <xf numFmtId="168" fontId="10" fillId="0" borderId="0" xfId="7" applyNumberFormat="1" applyFont="1" applyFill="1" applyAlignment="1">
      <alignment horizontal="center"/>
    </xf>
    <xf numFmtId="2" fontId="25" fillId="0" borderId="0" xfId="0" applyNumberFormat="1" applyFont="1" applyAlignment="1">
      <alignment horizontal="center"/>
    </xf>
    <xf numFmtId="0" fontId="26" fillId="0" borderId="0" xfId="0" applyFont="1"/>
    <xf numFmtId="0" fontId="18" fillId="0" borderId="0" xfId="0" applyFont="1" applyFill="1"/>
    <xf numFmtId="0" fontId="18" fillId="0" borderId="0" xfId="0" applyFont="1" applyFill="1" applyAlignment="1">
      <alignment horizontal="center"/>
    </xf>
    <xf numFmtId="0" fontId="32" fillId="0" borderId="0" xfId="0" applyFont="1" applyFill="1"/>
    <xf numFmtId="167" fontId="32" fillId="0" borderId="0" xfId="0" applyNumberFormat="1" applyFont="1" applyFill="1" applyAlignment="1">
      <alignment horizontal="center"/>
    </xf>
    <xf numFmtId="2" fontId="32" fillId="0" borderId="0" xfId="0" applyNumberFormat="1" applyFont="1" applyFill="1" applyAlignment="1">
      <alignment horizontal="center"/>
    </xf>
    <xf numFmtId="0" fontId="32" fillId="0" borderId="0" xfId="0" applyFont="1" applyFill="1" applyAlignment="1">
      <alignment horizontal="center"/>
    </xf>
    <xf numFmtId="44" fontId="2" fillId="0" borderId="0" xfId="7" applyFont="1"/>
    <xf numFmtId="8" fontId="0" fillId="0" borderId="0" xfId="0" applyNumberFormat="1"/>
    <xf numFmtId="9" fontId="0" fillId="0" borderId="0" xfId="0" applyNumberFormat="1"/>
    <xf numFmtId="44" fontId="0" fillId="0" borderId="0" xfId="0" applyNumberFormat="1"/>
    <xf numFmtId="168" fontId="0" fillId="0" borderId="0" xfId="0" applyNumberFormat="1"/>
    <xf numFmtId="0" fontId="0" fillId="0" borderId="0" xfId="0"/>
    <xf numFmtId="0" fontId="0" fillId="0" borderId="0" xfId="0"/>
    <xf numFmtId="44" fontId="2" fillId="10" borderId="0" xfId="7" applyFont="1" applyFill="1"/>
    <xf numFmtId="8" fontId="0" fillId="10" borderId="0" xfId="0" applyNumberFormat="1" applyFill="1"/>
    <xf numFmtId="168" fontId="0" fillId="10" borderId="0" xfId="0" applyNumberFormat="1" applyFill="1"/>
    <xf numFmtId="0" fontId="3" fillId="0" borderId="0" xfId="0" applyFont="1" applyAlignment="1">
      <alignment horizontal="center" wrapText="1"/>
    </xf>
    <xf numFmtId="0" fontId="0" fillId="15" borderId="0" xfId="0" applyFill="1" applyAlignment="1">
      <alignment horizontal="center" vertical="center" wrapText="1"/>
    </xf>
    <xf numFmtId="9" fontId="0" fillId="15" borderId="0" xfId="0" applyNumberFormat="1" applyFill="1" applyAlignment="1">
      <alignment horizontal="center" vertical="center" wrapText="1"/>
    </xf>
    <xf numFmtId="9" fontId="0" fillId="15" borderId="0" xfId="0" applyNumberFormat="1" applyFill="1" applyAlignment="1">
      <alignment horizontal="center" vertical="center"/>
    </xf>
    <xf numFmtId="0" fontId="0" fillId="15" borderId="0" xfId="0" applyFill="1" applyAlignment="1">
      <alignment horizontal="center" vertical="center"/>
    </xf>
    <xf numFmtId="1" fontId="0" fillId="0" borderId="0" xfId="0" applyNumberFormat="1" applyAlignment="1">
      <alignment wrapText="1"/>
    </xf>
    <xf numFmtId="1" fontId="0" fillId="0" borderId="0" xfId="0" applyNumberFormat="1"/>
    <xf numFmtId="0" fontId="0" fillId="0" borderId="0" xfId="0"/>
    <xf numFmtId="9" fontId="0" fillId="0" borderId="0" xfId="0" applyNumberFormat="1" applyFill="1"/>
    <xf numFmtId="0" fontId="0" fillId="0" borderId="0" xfId="0" applyFill="1" applyAlignment="1">
      <alignment horizontal="center"/>
    </xf>
    <xf numFmtId="0" fontId="10" fillId="0" borderId="0" xfId="0" applyFont="1" applyFill="1" applyAlignment="1">
      <alignment vertical="center" wrapText="1"/>
    </xf>
    <xf numFmtId="0" fontId="33" fillId="0" borderId="0" xfId="0" applyFont="1"/>
    <xf numFmtId="165" fontId="33" fillId="0" borderId="0" xfId="0" applyNumberFormat="1" applyFont="1" applyFill="1" applyAlignment="1">
      <alignment horizontal="center"/>
    </xf>
    <xf numFmtId="165" fontId="10" fillId="0" borderId="0" xfId="0" applyNumberFormat="1" applyFont="1" applyFill="1" applyAlignment="1">
      <alignment horizontal="center"/>
    </xf>
    <xf numFmtId="0" fontId="0" fillId="0" borderId="0" xfId="0"/>
    <xf numFmtId="0" fontId="34" fillId="0" borderId="5" xfId="0" applyFont="1" applyBorder="1" applyAlignment="1">
      <alignment horizontal="left"/>
    </xf>
    <xf numFmtId="0" fontId="34" fillId="0" borderId="0" xfId="0" applyFont="1" applyAlignment="1">
      <alignment horizontal="left"/>
    </xf>
    <xf numFmtId="0" fontId="18" fillId="0" borderId="0" xfId="0" applyFont="1" applyAlignment="1">
      <alignment horizontal="left"/>
    </xf>
    <xf numFmtId="0" fontId="18" fillId="0" borderId="0" xfId="0" applyFont="1" applyAlignment="1">
      <alignment horizontal="left" wrapText="1"/>
    </xf>
    <xf numFmtId="0" fontId="0" fillId="0" borderId="0" xfId="0"/>
    <xf numFmtId="10" fontId="10" fillId="0" borderId="2" xfId="0" applyNumberFormat="1" applyFont="1" applyBorder="1"/>
    <xf numFmtId="10" fontId="33" fillId="0" borderId="2" xfId="0" applyNumberFormat="1" applyFont="1" applyBorder="1"/>
    <xf numFmtId="0" fontId="6" fillId="12" borderId="2" xfId="0" applyFont="1" applyFill="1" applyBorder="1" applyAlignment="1">
      <alignment horizontal="center"/>
    </xf>
    <xf numFmtId="0" fontId="10" fillId="0" borderId="0" xfId="0" applyFont="1" applyAlignment="1">
      <alignment horizontal="right"/>
    </xf>
    <xf numFmtId="0" fontId="10" fillId="0" borderId="0" xfId="0" applyFont="1" applyAlignment="1">
      <alignment horizontal="center"/>
    </xf>
    <xf numFmtId="0" fontId="18" fillId="0" borderId="0" xfId="0" applyFont="1" applyAlignment="1">
      <alignment wrapText="1"/>
    </xf>
    <xf numFmtId="9" fontId="36" fillId="0" borderId="0" xfId="8" applyFont="1"/>
    <xf numFmtId="10" fontId="10" fillId="0" borderId="0" xfId="8" applyNumberFormat="1" applyFont="1"/>
    <xf numFmtId="0" fontId="10" fillId="14" borderId="0" xfId="0" applyFont="1" applyFill="1"/>
    <xf numFmtId="0" fontId="8" fillId="14" borderId="0" xfId="0" applyFont="1" applyFill="1"/>
    <xf numFmtId="44" fontId="10" fillId="14" borderId="0" xfId="7" applyFont="1" applyFill="1" applyBorder="1"/>
    <xf numFmtId="168" fontId="10" fillId="14" borderId="0" xfId="0" applyNumberFormat="1" applyFont="1" applyFill="1" applyAlignment="1">
      <alignment horizontal="center"/>
    </xf>
    <xf numFmtId="44" fontId="10" fillId="14" borderId="0" xfId="7" applyFont="1" applyFill="1" applyBorder="1" applyAlignment="1">
      <alignment horizontal="right"/>
    </xf>
    <xf numFmtId="0" fontId="10" fillId="14" borderId="0" xfId="0" applyFont="1" applyFill="1" applyAlignment="1">
      <alignment vertical="center"/>
    </xf>
    <xf numFmtId="8" fontId="10" fillId="14" borderId="0" xfId="0" applyNumberFormat="1" applyFont="1" applyFill="1"/>
    <xf numFmtId="0" fontId="10" fillId="14" borderId="0" xfId="0" applyFont="1" applyFill="1" applyAlignment="1">
      <alignment horizontal="right"/>
    </xf>
    <xf numFmtId="165" fontId="8" fillId="14" borderId="0" xfId="0" applyNumberFormat="1" applyFont="1" applyFill="1" applyAlignment="1">
      <alignment horizontal="center"/>
    </xf>
    <xf numFmtId="0" fontId="8" fillId="14" borderId="0" xfId="0" applyFont="1" applyFill="1" applyAlignment="1">
      <alignment horizontal="right"/>
    </xf>
    <xf numFmtId="2" fontId="8" fillId="14" borderId="0" xfId="0" applyNumberFormat="1" applyFont="1" applyFill="1" applyAlignment="1">
      <alignment horizontal="center"/>
    </xf>
    <xf numFmtId="0" fontId="8" fillId="14" borderId="0" xfId="0" applyFont="1" applyFill="1" applyAlignment="1">
      <alignment horizontal="center" wrapText="1"/>
    </xf>
    <xf numFmtId="0" fontId="11" fillId="0" borderId="0" xfId="0" applyFont="1"/>
    <xf numFmtId="0" fontId="8" fillId="0" borderId="0" xfId="0" applyFont="1" applyAlignment="1">
      <alignment horizontal="center"/>
    </xf>
    <xf numFmtId="0" fontId="8" fillId="0" borderId="0" xfId="0" applyFont="1" applyAlignment="1">
      <alignment horizontal="left"/>
    </xf>
    <xf numFmtId="0" fontId="8" fillId="0" borderId="0" xfId="0" applyFont="1" applyAlignment="1">
      <alignment horizontal="left" wrapText="1"/>
    </xf>
    <xf numFmtId="0" fontId="26" fillId="10" borderId="0" xfId="0" applyFont="1" applyFill="1"/>
    <xf numFmtId="0" fontId="8" fillId="10" borderId="0" xfId="0" applyFont="1" applyFill="1"/>
    <xf numFmtId="0" fontId="37" fillId="0" borderId="0" xfId="0" applyFont="1"/>
    <xf numFmtId="0" fontId="10" fillId="0" borderId="0" xfId="0" applyFont="1" applyAlignment="1">
      <alignment horizontal="left"/>
    </xf>
    <xf numFmtId="0" fontId="18" fillId="0" borderId="0" xfId="0" applyFont="1" applyAlignment="1">
      <alignment vertical="top" wrapText="1"/>
    </xf>
    <xf numFmtId="0" fontId="18" fillId="0" borderId="0" xfId="0" applyFont="1" applyAlignment="1">
      <alignment vertical="top"/>
    </xf>
    <xf numFmtId="0" fontId="18" fillId="0" borderId="0" xfId="0" applyFont="1" applyAlignment="1"/>
    <xf numFmtId="0" fontId="10" fillId="0" borderId="11" xfId="0" applyFont="1" applyBorder="1"/>
    <xf numFmtId="2" fontId="10" fillId="0" borderId="6" xfId="0" applyNumberFormat="1" applyFont="1" applyBorder="1"/>
    <xf numFmtId="9" fontId="10" fillId="0" borderId="0" xfId="0" applyNumberFormat="1" applyFont="1" applyFill="1"/>
    <xf numFmtId="168" fontId="10" fillId="0" borderId="0" xfId="0" applyNumberFormat="1" applyFont="1" applyFill="1"/>
    <xf numFmtId="2" fontId="10" fillId="0" borderId="0" xfId="0" applyNumberFormat="1" applyFont="1"/>
    <xf numFmtId="0" fontId="10" fillId="0" borderId="10" xfId="0" applyFont="1" applyBorder="1"/>
    <xf numFmtId="0" fontId="10" fillId="0" borderId="2" xfId="0" applyFont="1" applyBorder="1" applyAlignment="1">
      <alignment wrapText="1"/>
    </xf>
    <xf numFmtId="0" fontId="17" fillId="0" borderId="0" xfId="0" applyFont="1"/>
    <xf numFmtId="0" fontId="10" fillId="0" borderId="12" xfId="0" applyFont="1" applyBorder="1"/>
    <xf numFmtId="0" fontId="17" fillId="0" borderId="0" xfId="0" applyFont="1" applyAlignment="1">
      <alignment horizontal="left"/>
    </xf>
    <xf numFmtId="0" fontId="10" fillId="0" borderId="24" xfId="0" applyFont="1" applyBorder="1"/>
    <xf numFmtId="0" fontId="10" fillId="0" borderId="25" xfId="0" applyFont="1" applyBorder="1"/>
    <xf numFmtId="0" fontId="17" fillId="0" borderId="0" xfId="0" applyFont="1" applyAlignment="1">
      <alignment horizontal="right"/>
    </xf>
    <xf numFmtId="0" fontId="10" fillId="0" borderId="9" xfId="0" applyFont="1" applyBorder="1"/>
    <xf numFmtId="0" fontId="10" fillId="0" borderId="9" xfId="0" applyFont="1" applyBorder="1" applyAlignment="1">
      <alignment wrapText="1"/>
    </xf>
    <xf numFmtId="0" fontId="0" fillId="0" borderId="0" xfId="0"/>
    <xf numFmtId="0" fontId="11" fillId="0" borderId="5" xfId="0" applyFont="1" applyBorder="1" applyAlignment="1">
      <alignment horizontal="left"/>
    </xf>
    <xf numFmtId="0" fontId="13" fillId="0" borderId="0" xfId="0" applyFont="1" applyAlignment="1">
      <alignment vertical="top" wrapText="1"/>
    </xf>
    <xf numFmtId="0" fontId="10" fillId="0" borderId="0" xfId="0" applyFont="1" applyAlignment="1">
      <alignment vertical="top"/>
    </xf>
    <xf numFmtId="0" fontId="13" fillId="0" borderId="0" xfId="0" applyFont="1" applyAlignment="1">
      <alignment wrapText="1"/>
    </xf>
    <xf numFmtId="0" fontId="10" fillId="0" borderId="0" xfId="0" applyFont="1" applyAlignment="1">
      <alignment wrapText="1"/>
    </xf>
    <xf numFmtId="0" fontId="35" fillId="0" borderId="0" xfId="3" applyFont="1" applyAlignment="1">
      <alignment vertical="top" wrapText="1"/>
    </xf>
    <xf numFmtId="0" fontId="11" fillId="0" borderId="5" xfId="4" applyFont="1" applyBorder="1" applyAlignment="1">
      <alignment horizontal="left"/>
    </xf>
    <xf numFmtId="0" fontId="8" fillId="0" borderId="6" xfId="4" applyFont="1" applyBorder="1" applyAlignment="1">
      <alignment horizontal="left"/>
    </xf>
    <xf numFmtId="0" fontId="10" fillId="0" borderId="0" xfId="0" applyFont="1" applyAlignment="1">
      <alignment horizontal="left" vertical="top" wrapText="1"/>
    </xf>
    <xf numFmtId="0" fontId="8" fillId="0" borderId="0" xfId="4" applyFont="1" applyAlignment="1">
      <alignment horizontal="left"/>
    </xf>
    <xf numFmtId="0" fontId="10" fillId="0" borderId="0" xfId="0" applyFont="1" applyAlignment="1">
      <alignment horizontal="left" vertical="center" wrapText="1"/>
    </xf>
    <xf numFmtId="0" fontId="17" fillId="0" borderId="0" xfId="0" applyFont="1" applyAlignment="1">
      <alignment horizontal="left"/>
    </xf>
    <xf numFmtId="0" fontId="8" fillId="0" borderId="0" xfId="0" applyFont="1" applyAlignment="1">
      <alignment horizontal="right"/>
    </xf>
    <xf numFmtId="0" fontId="10" fillId="0" borderId="0" xfId="0" applyFont="1" applyAlignment="1">
      <alignment horizontal="right"/>
    </xf>
    <xf numFmtId="0" fontId="10" fillId="0" borderId="0" xfId="0" applyFont="1" applyAlignment="1">
      <alignment horizontal="right" wrapText="1"/>
    </xf>
    <xf numFmtId="0" fontId="17" fillId="0" borderId="0" xfId="0" applyFont="1" applyAlignment="1">
      <alignment horizontal="center"/>
    </xf>
    <xf numFmtId="0" fontId="10" fillId="0" borderId="0" xfId="0" applyFont="1" applyAlignment="1">
      <alignment horizontal="center"/>
    </xf>
    <xf numFmtId="0" fontId="33" fillId="0" borderId="0" xfId="0" applyFont="1" applyAlignment="1">
      <alignment horizontal="right"/>
    </xf>
    <xf numFmtId="0" fontId="10" fillId="0" borderId="16" xfId="0" applyFont="1" applyBorder="1" applyAlignment="1">
      <alignment horizontal="right" wrapText="1"/>
    </xf>
    <xf numFmtId="0" fontId="8" fillId="0" borderId="0" xfId="0" applyFont="1" applyAlignment="1">
      <alignment horizontal="left" wrapText="1"/>
    </xf>
    <xf numFmtId="0" fontId="10" fillId="0" borderId="10" xfId="0" applyFont="1" applyBorder="1" applyAlignment="1">
      <alignment horizontal="left" vertical="center" wrapText="1"/>
    </xf>
    <xf numFmtId="0" fontId="10" fillId="0" borderId="6" xfId="0" applyFont="1" applyBorder="1" applyAlignment="1">
      <alignment horizontal="left" vertical="center" wrapText="1"/>
    </xf>
    <xf numFmtId="0" fontId="10" fillId="0" borderId="2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6" xfId="0" applyFont="1" applyBorder="1" applyAlignment="1">
      <alignment horizontal="left" vertical="center" wrapText="1"/>
    </xf>
    <xf numFmtId="0" fontId="10" fillId="0" borderId="21" xfId="0" applyFont="1" applyBorder="1" applyAlignment="1">
      <alignment horizontal="left" vertical="center" wrapText="1"/>
    </xf>
    <xf numFmtId="0" fontId="10" fillId="0" borderId="5" xfId="0" applyFont="1" applyBorder="1" applyAlignment="1">
      <alignment horizontal="left" vertical="center" wrapText="1"/>
    </xf>
    <xf numFmtId="0" fontId="10" fillId="0" borderId="22" xfId="0" applyFont="1" applyBorder="1" applyAlignment="1">
      <alignment horizontal="left" vertical="center" wrapText="1"/>
    </xf>
    <xf numFmtId="0" fontId="10" fillId="0" borderId="0" xfId="0" applyFont="1" applyAlignment="1">
      <alignment horizontal="left" vertical="center" wrapText="1" indent="1"/>
    </xf>
    <xf numFmtId="0" fontId="25" fillId="0" borderId="23" xfId="0" applyFont="1" applyBorder="1" applyAlignment="1">
      <alignment horizontal="left"/>
    </xf>
    <xf numFmtId="0" fontId="0" fillId="0" borderId="0" xfId="0" applyAlignment="1">
      <alignment horizontal="center" wrapText="1"/>
    </xf>
    <xf numFmtId="0" fontId="0" fillId="0" borderId="3"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3" fillId="0" borderId="0" xfId="0" applyFont="1" applyAlignment="1">
      <alignment horizontal="center"/>
    </xf>
    <xf numFmtId="0" fontId="10" fillId="0" borderId="0" xfId="0" applyFont="1" applyAlignment="1">
      <alignment horizontal="left" wrapText="1"/>
    </xf>
    <xf numFmtId="0" fontId="9" fillId="15" borderId="10" xfId="0" applyFont="1" applyFill="1" applyBorder="1" applyAlignment="1">
      <alignment horizontal="left" vertical="center" wrapText="1"/>
    </xf>
    <xf numFmtId="0" fontId="9" fillId="15" borderId="6" xfId="0" applyFont="1" applyFill="1" applyBorder="1" applyAlignment="1">
      <alignment horizontal="left" vertical="center" wrapText="1"/>
    </xf>
    <xf numFmtId="0" fontId="9" fillId="15" borderId="20" xfId="0" applyFont="1" applyFill="1" applyBorder="1" applyAlignment="1">
      <alignment horizontal="left" vertical="center" wrapText="1"/>
    </xf>
    <xf numFmtId="0" fontId="9" fillId="15" borderId="12" xfId="0" applyFont="1" applyFill="1" applyBorder="1" applyAlignment="1">
      <alignment horizontal="left" vertical="center" wrapText="1"/>
    </xf>
    <xf numFmtId="0" fontId="9" fillId="15" borderId="0" xfId="0" applyFont="1" applyFill="1" applyAlignment="1">
      <alignment horizontal="left" vertical="center" wrapText="1"/>
    </xf>
    <xf numFmtId="0" fontId="9" fillId="15" borderId="16" xfId="0" applyFont="1" applyFill="1" applyBorder="1" applyAlignment="1">
      <alignment horizontal="left" vertical="center" wrapText="1"/>
    </xf>
    <xf numFmtId="0" fontId="9" fillId="15" borderId="21" xfId="0" applyFont="1" applyFill="1" applyBorder="1" applyAlignment="1">
      <alignment horizontal="left" vertical="center" wrapText="1"/>
    </xf>
    <xf numFmtId="0" fontId="9" fillId="15" borderId="5" xfId="0" applyFont="1" applyFill="1" applyBorder="1" applyAlignment="1">
      <alignment horizontal="left" vertical="center" wrapText="1"/>
    </xf>
    <xf numFmtId="0" fontId="9" fillId="15" borderId="22" xfId="0" applyFont="1" applyFill="1" applyBorder="1" applyAlignment="1">
      <alignment horizontal="left" vertical="center" wrapText="1"/>
    </xf>
    <xf numFmtId="0" fontId="17" fillId="0" borderId="0" xfId="0" applyFont="1" applyAlignment="1">
      <alignment horizontal="center" vertical="center" wrapText="1"/>
    </xf>
    <xf numFmtId="0" fontId="8" fillId="0" borderId="0" xfId="0" applyFont="1" applyAlignment="1">
      <alignment horizontal="right" wrapText="1"/>
    </xf>
    <xf numFmtId="0" fontId="11" fillId="3" borderId="12" xfId="0" applyFont="1" applyFill="1" applyBorder="1" applyAlignment="1">
      <alignment horizontal="center"/>
    </xf>
    <xf numFmtId="0" fontId="11" fillId="3" borderId="0" xfId="0" applyFont="1" applyFill="1" applyBorder="1" applyAlignment="1">
      <alignment horizontal="center"/>
    </xf>
    <xf numFmtId="0" fontId="18" fillId="0" borderId="12" xfId="0" applyFont="1" applyBorder="1" applyAlignment="1">
      <alignment horizontal="left" vertical="center" wrapText="1" indent="1"/>
    </xf>
    <xf numFmtId="0" fontId="18" fillId="0" borderId="0" xfId="0" applyFont="1" applyBorder="1" applyAlignment="1">
      <alignment horizontal="left" vertical="center" wrapText="1" indent="1"/>
    </xf>
    <xf numFmtId="8" fontId="10" fillId="14" borderId="0" xfId="7" applyNumberFormat="1" applyFont="1" applyFill="1" applyBorder="1" applyAlignment="1">
      <alignment horizontal="center"/>
    </xf>
    <xf numFmtId="44" fontId="10" fillId="14" borderId="0" xfId="7" applyFont="1" applyFill="1" applyBorder="1" applyAlignment="1">
      <alignment horizontal="center"/>
    </xf>
    <xf numFmtId="0" fontId="26" fillId="0" borderId="19" xfId="0" applyFont="1" applyBorder="1" applyAlignment="1">
      <alignment horizontal="left"/>
    </xf>
    <xf numFmtId="44" fontId="8" fillId="14" borderId="0" xfId="7" applyFont="1" applyFill="1" applyBorder="1" applyAlignment="1">
      <alignment horizontal="center"/>
    </xf>
    <xf numFmtId="0" fontId="8" fillId="14" borderId="0" xfId="0" applyFont="1" applyFill="1" applyAlignment="1">
      <alignment horizontal="center"/>
    </xf>
    <xf numFmtId="168" fontId="10" fillId="14" borderId="0" xfId="7" applyNumberFormat="1" applyFont="1" applyFill="1" applyBorder="1" applyAlignment="1">
      <alignment horizontal="center"/>
    </xf>
    <xf numFmtId="165" fontId="8" fillId="14" borderId="0" xfId="8" applyNumberFormat="1" applyFont="1" applyFill="1" applyBorder="1" applyAlignment="1">
      <alignment horizontal="center"/>
    </xf>
    <xf numFmtId="2" fontId="8" fillId="14" borderId="0" xfId="0" applyNumberFormat="1" applyFont="1" applyFill="1" applyAlignment="1">
      <alignment horizontal="center"/>
    </xf>
    <xf numFmtId="0" fontId="8" fillId="14" borderId="0" xfId="0" applyFont="1" applyFill="1" applyAlignment="1">
      <alignment horizontal="center" wrapText="1"/>
    </xf>
    <xf numFmtId="0" fontId="26" fillId="0" borderId="0" xfId="0" applyFont="1" applyAlignment="1">
      <alignment horizontal="center" textRotation="90"/>
    </xf>
    <xf numFmtId="0" fontId="10" fillId="0" borderId="0" xfId="0" applyFont="1" applyAlignment="1">
      <alignment horizontal="left" vertical="center"/>
    </xf>
  </cellXfs>
  <cellStyles count="9">
    <cellStyle name="Comma" xfId="1" builtinId="3"/>
    <cellStyle name="Comma 2" xfId="2" xr:uid="{DE4D1D12-7CBB-474C-A112-698086737726}"/>
    <cellStyle name="Currency" xfId="7" builtinId="4"/>
    <cellStyle name="Hyperlink" xfId="3" builtinId="8"/>
    <cellStyle name="Normal" xfId="0" builtinId="0"/>
    <cellStyle name="Normal 2" xfId="5" xr:uid="{B92A16DB-5746-4673-AF91-9755CB6EE4C5}"/>
    <cellStyle name="Normal 2 2" xfId="4" xr:uid="{36C97BA5-61CA-4CB3-BA97-A198EE5F772C}"/>
    <cellStyle name="Normal_RP_18_TRP" xfId="6" xr:uid="{DE74BDA2-0BB6-4140-BFEF-19A462E4CDE1}"/>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400050</xdr:colOff>
          <xdr:row>9</xdr:row>
          <xdr:rowOff>66675</xdr:rowOff>
        </xdr:from>
        <xdr:to>
          <xdr:col>0</xdr:col>
          <xdr:colOff>600075</xdr:colOff>
          <xdr:row>9</xdr:row>
          <xdr:rowOff>295275</xdr:rowOff>
        </xdr:to>
        <xdr:sp macro="" textlink="">
          <xdr:nvSpPr>
            <xdr:cNvPr id="1026" name="CheckBox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7</xdr:row>
          <xdr:rowOff>76200</xdr:rowOff>
        </xdr:from>
        <xdr:to>
          <xdr:col>0</xdr:col>
          <xdr:colOff>600075</xdr:colOff>
          <xdr:row>7</xdr:row>
          <xdr:rowOff>304800</xdr:rowOff>
        </xdr:to>
        <xdr:sp macro="" textlink="">
          <xdr:nvSpPr>
            <xdr:cNvPr id="1027" name="CheckBox1"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11</xdr:row>
          <xdr:rowOff>57150</xdr:rowOff>
        </xdr:from>
        <xdr:to>
          <xdr:col>1</xdr:col>
          <xdr:colOff>0</xdr:colOff>
          <xdr:row>11</xdr:row>
          <xdr:rowOff>285750</xdr:rowOff>
        </xdr:to>
        <xdr:sp macro="" textlink="">
          <xdr:nvSpPr>
            <xdr:cNvPr id="1028" name="CheckBox8"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21</xdr:row>
          <xdr:rowOff>28575</xdr:rowOff>
        </xdr:from>
        <xdr:to>
          <xdr:col>0</xdr:col>
          <xdr:colOff>590550</xdr:colOff>
          <xdr:row>21</xdr:row>
          <xdr:rowOff>371475</xdr:rowOff>
        </xdr:to>
        <xdr:sp macro="" textlink="">
          <xdr:nvSpPr>
            <xdr:cNvPr id="1029" name="CheckBox9"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371475</xdr:colOff>
          <xdr:row>23</xdr:row>
          <xdr:rowOff>38100</xdr:rowOff>
        </xdr:from>
        <xdr:to>
          <xdr:col>0</xdr:col>
          <xdr:colOff>571500</xdr:colOff>
          <xdr:row>23</xdr:row>
          <xdr:rowOff>266700</xdr:rowOff>
        </xdr:to>
        <xdr:sp macro="" textlink="">
          <xdr:nvSpPr>
            <xdr:cNvPr id="1030" name="CheckBox10"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17</xdr:row>
          <xdr:rowOff>57150</xdr:rowOff>
        </xdr:from>
        <xdr:to>
          <xdr:col>1</xdr:col>
          <xdr:colOff>0</xdr:colOff>
          <xdr:row>17</xdr:row>
          <xdr:rowOff>381000</xdr:rowOff>
        </xdr:to>
        <xdr:sp macro="" textlink="">
          <xdr:nvSpPr>
            <xdr:cNvPr id="1031" name="CheckBox11"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19</xdr:row>
          <xdr:rowOff>19050</xdr:rowOff>
        </xdr:from>
        <xdr:to>
          <xdr:col>0</xdr:col>
          <xdr:colOff>590550</xdr:colOff>
          <xdr:row>19</xdr:row>
          <xdr:rowOff>247650</xdr:rowOff>
        </xdr:to>
        <xdr:sp macro="" textlink="">
          <xdr:nvSpPr>
            <xdr:cNvPr id="1032" name="CheckBox12"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371475</xdr:colOff>
          <xdr:row>27</xdr:row>
          <xdr:rowOff>66675</xdr:rowOff>
        </xdr:from>
        <xdr:to>
          <xdr:col>0</xdr:col>
          <xdr:colOff>571500</xdr:colOff>
          <xdr:row>28</xdr:row>
          <xdr:rowOff>0</xdr:rowOff>
        </xdr:to>
        <xdr:sp macro="" textlink="">
          <xdr:nvSpPr>
            <xdr:cNvPr id="1033" name="CheckBox3"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25</xdr:row>
          <xdr:rowOff>76200</xdr:rowOff>
        </xdr:from>
        <xdr:to>
          <xdr:col>0</xdr:col>
          <xdr:colOff>561975</xdr:colOff>
          <xdr:row>25</xdr:row>
          <xdr:rowOff>304800</xdr:rowOff>
        </xdr:to>
        <xdr:sp macro="" textlink="">
          <xdr:nvSpPr>
            <xdr:cNvPr id="1034" name="CheckBox4"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1617662</xdr:colOff>
      <xdr:row>0</xdr:row>
      <xdr:rowOff>53975</xdr:rowOff>
    </xdr:from>
    <xdr:to>
      <xdr:col>2</xdr:col>
      <xdr:colOff>39750</xdr:colOff>
      <xdr:row>0</xdr:row>
      <xdr:rowOff>1333524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17612" y="53975"/>
          <a:ext cx="41338" cy="136549"/>
        </a:xfrm>
        <a:prstGeom prst="rect">
          <a:avLst/>
        </a:prstGeom>
        <a:solidFill>
          <a:sysClr val="window" lastClr="FFFFFF"/>
        </a:solidFill>
        <a:ln w="9525" cmpd="sng">
          <a:noFill/>
        </a:ln>
        <a:effectLst/>
      </xdr:spPr>
      <xdr:txBody>
        <a:bodyPr vert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Eligibility tool for streamlined</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chloride variance approach</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Black" pitchFamily="34" charset="0"/>
              <a:ea typeface="+mn-ea"/>
              <a:cs typeface="Arial" pitchFamily="34" charset="0"/>
            </a:rPr>
            <a:t>Wastewater Permit Program</a:t>
          </a: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Doc Type: Variance Request Forms &amp; Submittals</a:t>
          </a:r>
        </a:p>
        <a:p>
          <a:pPr marL="0" marR="0" lvl="0" indent="0" algn="r" defTabSz="914400" eaLnBrk="1" fontAlgn="auto" latinLnBrk="0" hangingPunct="1">
            <a:lnSpc>
              <a:spcPct val="100000"/>
            </a:lnSpc>
            <a:spcBef>
              <a:spcPts val="0"/>
            </a:spcBef>
            <a:spcAft>
              <a:spcPts val="0"/>
            </a:spcAft>
            <a:buClrTx/>
            <a:buSzTx/>
            <a:buFontTx/>
            <a:buNone/>
            <a:tabLst/>
            <a:defRPr/>
          </a:pPr>
          <a:r>
            <a:rPr lang="en-US" sz="800" b="0" i="1">
              <a:solidFill>
                <a:sysClr val="windowText" lastClr="000000"/>
              </a:solidFill>
              <a:effectLst/>
              <a:latin typeface="Arial" panose="020B0604020202020204" pitchFamily="34" charset="0"/>
              <a:ea typeface="+mn-ea"/>
              <a:cs typeface="Arial" panose="020B0604020202020204" pitchFamily="34" charset="0"/>
            </a:rPr>
            <a:t>wq-wwprm2-17 (Revised 8/7/24)</a:t>
          </a:r>
          <a:endParaRPr lang="en-US" sz="80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142875</xdr:colOff>
      <xdr:row>0</xdr:row>
      <xdr:rowOff>114300</xdr:rowOff>
    </xdr:from>
    <xdr:to>
      <xdr:col>1</xdr:col>
      <xdr:colOff>1924050</xdr:colOff>
      <xdr:row>0</xdr:row>
      <xdr:rowOff>800100</xdr:rowOff>
    </xdr:to>
    <xdr:pic>
      <xdr:nvPicPr>
        <xdr:cNvPr id="5" name="Picture 4" descr="Minnesota Pollution Control Agency (MPCA), 520 Lafayette Road North, St. Paul, MN 55155-4194" title="Image of MPCA logo with St. Paul office address">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14300"/>
          <a:ext cx="2390775" cy="685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209550</xdr:colOff>
          <xdr:row>5</xdr:row>
          <xdr:rowOff>0</xdr:rowOff>
        </xdr:from>
        <xdr:to>
          <xdr:col>9</xdr:col>
          <xdr:colOff>352425</xdr:colOff>
          <xdr:row>6</xdr:row>
          <xdr:rowOff>85725</xdr:rowOff>
        </xdr:to>
        <xdr:sp macro="" textlink="">
          <xdr:nvSpPr>
            <xdr:cNvPr id="9219" name="ComboBox1"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1.xml"/><Relationship Id="rId13" Type="http://schemas.openxmlformats.org/officeDocument/2006/relationships/image" Target="../media/image2.emf"/><Relationship Id="rId18" Type="http://schemas.openxmlformats.org/officeDocument/2006/relationships/control" Target="../activeX/activeX8.xml"/><Relationship Id="rId3" Type="http://schemas.openxmlformats.org/officeDocument/2006/relationships/hyperlink" Target="mailto:WQSvariances.mpca@state.mn.us." TargetMode="External"/><Relationship Id="rId7" Type="http://schemas.openxmlformats.org/officeDocument/2006/relationships/vmlDrawing" Target="../drawings/vmlDrawing1.vml"/><Relationship Id="rId12" Type="http://schemas.openxmlformats.org/officeDocument/2006/relationships/control" Target="../activeX/activeX4.xml"/><Relationship Id="rId17" Type="http://schemas.openxmlformats.org/officeDocument/2006/relationships/control" Target="../activeX/activeX7.xml"/><Relationship Id="rId2" Type="http://schemas.openxmlformats.org/officeDocument/2006/relationships/hyperlink" Target="mailto:chloridevariancepocess.pca@state.mn.us." TargetMode="External"/><Relationship Id="rId16" Type="http://schemas.openxmlformats.org/officeDocument/2006/relationships/image" Target="../media/image3.emf"/><Relationship Id="rId1" Type="http://schemas.openxmlformats.org/officeDocument/2006/relationships/hyperlink" Target="mailto:fawkes.char@state.mn.us" TargetMode="External"/><Relationship Id="rId6" Type="http://schemas.openxmlformats.org/officeDocument/2006/relationships/drawing" Target="../drawings/drawing1.xml"/><Relationship Id="rId11" Type="http://schemas.openxmlformats.org/officeDocument/2006/relationships/control" Target="../activeX/activeX3.xml"/><Relationship Id="rId5" Type="http://schemas.openxmlformats.org/officeDocument/2006/relationships/printerSettings" Target="../printerSettings/printerSettings1.bin"/><Relationship Id="rId15" Type="http://schemas.openxmlformats.org/officeDocument/2006/relationships/control" Target="../activeX/activeX6.xml"/><Relationship Id="rId10" Type="http://schemas.openxmlformats.org/officeDocument/2006/relationships/control" Target="../activeX/activeX2.xml"/><Relationship Id="rId19" Type="http://schemas.openxmlformats.org/officeDocument/2006/relationships/control" Target="../activeX/activeX9.xml"/><Relationship Id="rId4" Type="http://schemas.openxmlformats.org/officeDocument/2006/relationships/hyperlink" Target="mailto:WQSvariances.mpca@state.mn.us." TargetMode="External"/><Relationship Id="rId9" Type="http://schemas.openxmlformats.org/officeDocument/2006/relationships/image" Target="../media/image1.emf"/><Relationship Id="rId14" Type="http://schemas.openxmlformats.org/officeDocument/2006/relationships/control" Target="../activeX/activeX5.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image" Target="../media/image5.emf"/><Relationship Id="rId4" Type="http://schemas.openxmlformats.org/officeDocument/2006/relationships/control" Target="../activeX/activeX1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A54F7-B6BE-4846-A18E-3E53AAC33747}">
  <sheetPr codeName="Sheet4">
    <tabColor rgb="FF00B050"/>
  </sheetPr>
  <dimension ref="A1:B28"/>
  <sheetViews>
    <sheetView showGridLines="0" tabSelected="1" zoomScaleNormal="100" workbookViewId="0">
      <selection activeCell="A2" sqref="A2:B2"/>
    </sheetView>
  </sheetViews>
  <sheetFormatPr defaultRowHeight="15" x14ac:dyDescent="0.25"/>
  <cols>
    <col min="2" max="2" width="98.42578125" customWidth="1"/>
  </cols>
  <sheetData>
    <row r="1" spans="1:2" ht="113.25" customHeight="1" x14ac:dyDescent="0.25">
      <c r="A1" s="228"/>
      <c r="B1" s="228"/>
    </row>
    <row r="2" spans="1:2" ht="39.75" customHeight="1" x14ac:dyDescent="0.25">
      <c r="A2" s="230" t="s">
        <v>1424</v>
      </c>
      <c r="B2" s="231"/>
    </row>
    <row r="3" spans="1:2" s="39" customFormat="1" ht="17.25" customHeight="1" x14ac:dyDescent="0.25">
      <c r="A3" s="234" t="s">
        <v>1425</v>
      </c>
      <c r="B3" s="234"/>
    </row>
    <row r="4" spans="1:2" s="35" customFormat="1" ht="36.75" customHeight="1" x14ac:dyDescent="0.2">
      <c r="A4" s="232" t="s">
        <v>1430</v>
      </c>
      <c r="B4" s="233"/>
    </row>
    <row r="5" spans="1:2" s="39" customFormat="1" ht="34.5" customHeight="1" x14ac:dyDescent="0.25">
      <c r="A5" s="234" t="s">
        <v>1431</v>
      </c>
      <c r="B5" s="234"/>
    </row>
    <row r="6" spans="1:2" ht="19.5" thickBot="1" x14ac:dyDescent="0.35">
      <c r="A6" s="229" t="s">
        <v>1423</v>
      </c>
      <c r="B6" s="229"/>
    </row>
    <row r="8" spans="1:2" ht="39" x14ac:dyDescent="0.25">
      <c r="A8" s="34"/>
      <c r="B8" s="36" t="s">
        <v>1426</v>
      </c>
    </row>
    <row r="9" spans="1:2" x14ac:dyDescent="0.25">
      <c r="A9" s="34"/>
      <c r="B9" s="36"/>
    </row>
    <row r="10" spans="1:2" ht="25.5" x14ac:dyDescent="0.25">
      <c r="A10" s="34"/>
      <c r="B10" s="37" t="s">
        <v>1427</v>
      </c>
    </row>
    <row r="11" spans="1:2" x14ac:dyDescent="0.25">
      <c r="A11" s="34"/>
      <c r="B11" s="36"/>
    </row>
    <row r="12" spans="1:2" ht="38.25" x14ac:dyDescent="0.25">
      <c r="A12" s="34"/>
      <c r="B12" s="37" t="s">
        <v>1422</v>
      </c>
    </row>
    <row r="13" spans="1:2" x14ac:dyDescent="0.25">
      <c r="A13" s="34"/>
      <c r="B13" s="35"/>
    </row>
    <row r="14" spans="1:2" x14ac:dyDescent="0.25">
      <c r="A14" s="34"/>
      <c r="B14" s="38" t="s">
        <v>1428</v>
      </c>
    </row>
    <row r="15" spans="1:2" x14ac:dyDescent="0.25">
      <c r="A15" s="34"/>
      <c r="B15" s="38" t="s">
        <v>2577</v>
      </c>
    </row>
    <row r="16" spans="1:2" x14ac:dyDescent="0.25">
      <c r="A16" s="34"/>
      <c r="B16" s="38" t="s">
        <v>2578</v>
      </c>
    </row>
    <row r="17" spans="1:2" x14ac:dyDescent="0.25">
      <c r="A17" s="34"/>
      <c r="B17" s="35"/>
    </row>
    <row r="18" spans="1:2" ht="51" x14ac:dyDescent="0.25">
      <c r="A18" s="34"/>
      <c r="B18" s="37" t="s">
        <v>2555</v>
      </c>
    </row>
    <row r="19" spans="1:2" x14ac:dyDescent="0.25">
      <c r="A19" s="34"/>
      <c r="B19" s="36"/>
    </row>
    <row r="20" spans="1:2" ht="39" x14ac:dyDescent="0.25">
      <c r="A20" s="34"/>
      <c r="B20" s="36" t="s">
        <v>1429</v>
      </c>
    </row>
    <row r="21" spans="1:2" x14ac:dyDescent="0.25">
      <c r="A21" s="34"/>
      <c r="B21" s="36"/>
    </row>
    <row r="22" spans="1:2" ht="51" x14ac:dyDescent="0.25">
      <c r="A22" s="34"/>
      <c r="B22" s="172" t="s">
        <v>2554</v>
      </c>
    </row>
    <row r="23" spans="1:2" x14ac:dyDescent="0.25">
      <c r="A23" s="34"/>
      <c r="B23" s="36"/>
    </row>
    <row r="24" spans="1:2" ht="25.5" x14ac:dyDescent="0.25">
      <c r="A24" s="34"/>
      <c r="B24" s="37" t="s">
        <v>1421</v>
      </c>
    </row>
    <row r="25" spans="1:2" x14ac:dyDescent="0.25">
      <c r="A25" s="34"/>
      <c r="B25" s="35"/>
    </row>
    <row r="26" spans="1:2" ht="32.25" customHeight="1" x14ac:dyDescent="0.25">
      <c r="A26" s="34"/>
      <c r="B26" s="36" t="s">
        <v>1420</v>
      </c>
    </row>
    <row r="27" spans="1:2" x14ac:dyDescent="0.25">
      <c r="A27" s="34"/>
      <c r="B27" s="35"/>
    </row>
    <row r="28" spans="1:2" ht="23.25" customHeight="1" x14ac:dyDescent="0.25">
      <c r="A28" s="34"/>
      <c r="B28" s="33" t="s">
        <v>1419</v>
      </c>
    </row>
  </sheetData>
  <mergeCells count="6">
    <mergeCell ref="A1:B1"/>
    <mergeCell ref="A6:B6"/>
    <mergeCell ref="A2:B2"/>
    <mergeCell ref="A4:B4"/>
    <mergeCell ref="A3:B3"/>
    <mergeCell ref="A5:B5"/>
  </mergeCells>
  <hyperlinks>
    <hyperlink ref="A5" r:id="rId1" display="fawkes.char@state.mn.us" xr:uid="{A7F3DE3F-6704-4CA5-A1AC-CD2B25570279}"/>
    <hyperlink ref="A3" r:id="rId2" display="chloridevariancepocess.pca@state.mn.us." xr:uid="{397CCA65-A4CE-47E3-8E43-A16DD81FF5BF}"/>
    <hyperlink ref="A3:B3" r:id="rId3" display="WQSvariances.mpca@state.mn.us." xr:uid="{3C6C4BFE-238E-4BF8-BBB1-F63F2C5C735A}"/>
    <hyperlink ref="A5:B5" r:id="rId4" display="WQSvariances.mpca@state.mn.us" xr:uid="{811B9703-7B8B-4679-82E8-D6D4722F0541}"/>
  </hyperlinks>
  <pageMargins left="0.45" right="0.45" top="0.5" bottom="0.5" header="0.3" footer="0.3"/>
  <pageSetup scale="90" orientation="portrait" r:id="rId5"/>
  <headerFooter>
    <oddFooter>&amp;L&amp;"Arial,Italic"&amp;9wq-wwprm2-17  •  8/7/24&amp;C&amp;"Arial,Italic"&amp;9 htttps://ww.pca.state.mn.us  •  Available in alternative formats
651-296-6300  •  800-657-3864  •  Use your preferred relay service&amp;R&amp;"Arial,Italic"&amp;9Page &amp;P of &amp;N</oddFooter>
  </headerFooter>
  <drawing r:id="rId6"/>
  <legacyDrawing r:id="rId7"/>
  <controls>
    <mc:AlternateContent xmlns:mc="http://schemas.openxmlformats.org/markup-compatibility/2006">
      <mc:Choice Requires="x14">
        <control shapeId="1034" r:id="rId8" name="CheckBox4">
          <controlPr defaultSize="0" autoLine="0" r:id="rId9">
            <anchor moveWithCells="1">
              <from>
                <xdr:col>0</xdr:col>
                <xdr:colOff>361950</xdr:colOff>
                <xdr:row>25</xdr:row>
                <xdr:rowOff>76200</xdr:rowOff>
              </from>
              <to>
                <xdr:col>0</xdr:col>
                <xdr:colOff>561975</xdr:colOff>
                <xdr:row>25</xdr:row>
                <xdr:rowOff>304800</xdr:rowOff>
              </to>
            </anchor>
          </controlPr>
        </control>
      </mc:Choice>
      <mc:Fallback>
        <control shapeId="1034" r:id="rId8" name="CheckBox4"/>
      </mc:Fallback>
    </mc:AlternateContent>
    <mc:AlternateContent xmlns:mc="http://schemas.openxmlformats.org/markup-compatibility/2006">
      <mc:Choice Requires="x14">
        <control shapeId="1033" r:id="rId10" name="CheckBox3">
          <controlPr defaultSize="0" autoLine="0" r:id="rId9">
            <anchor moveWithCells="1">
              <from>
                <xdr:col>0</xdr:col>
                <xdr:colOff>371475</xdr:colOff>
                <xdr:row>27</xdr:row>
                <xdr:rowOff>66675</xdr:rowOff>
              </from>
              <to>
                <xdr:col>0</xdr:col>
                <xdr:colOff>571500</xdr:colOff>
                <xdr:row>28</xdr:row>
                <xdr:rowOff>0</xdr:rowOff>
              </to>
            </anchor>
          </controlPr>
        </control>
      </mc:Choice>
      <mc:Fallback>
        <control shapeId="1033" r:id="rId10" name="CheckBox3"/>
      </mc:Fallback>
    </mc:AlternateContent>
    <mc:AlternateContent xmlns:mc="http://schemas.openxmlformats.org/markup-compatibility/2006">
      <mc:Choice Requires="x14">
        <control shapeId="1032" r:id="rId11" name="CheckBox12">
          <controlPr defaultSize="0" autoLine="0" r:id="rId9">
            <anchor moveWithCells="1">
              <from>
                <xdr:col>0</xdr:col>
                <xdr:colOff>390525</xdr:colOff>
                <xdr:row>19</xdr:row>
                <xdr:rowOff>19050</xdr:rowOff>
              </from>
              <to>
                <xdr:col>0</xdr:col>
                <xdr:colOff>590550</xdr:colOff>
                <xdr:row>19</xdr:row>
                <xdr:rowOff>247650</xdr:rowOff>
              </to>
            </anchor>
          </controlPr>
        </control>
      </mc:Choice>
      <mc:Fallback>
        <control shapeId="1032" r:id="rId11" name="CheckBox12"/>
      </mc:Fallback>
    </mc:AlternateContent>
    <mc:AlternateContent xmlns:mc="http://schemas.openxmlformats.org/markup-compatibility/2006">
      <mc:Choice Requires="x14">
        <control shapeId="1031" r:id="rId12" name="CheckBox11">
          <controlPr defaultSize="0" autoLine="0" r:id="rId13">
            <anchor moveWithCells="1">
              <from>
                <xdr:col>0</xdr:col>
                <xdr:colOff>409575</xdr:colOff>
                <xdr:row>17</xdr:row>
                <xdr:rowOff>57150</xdr:rowOff>
              </from>
              <to>
                <xdr:col>1</xdr:col>
                <xdr:colOff>0</xdr:colOff>
                <xdr:row>17</xdr:row>
                <xdr:rowOff>381000</xdr:rowOff>
              </to>
            </anchor>
          </controlPr>
        </control>
      </mc:Choice>
      <mc:Fallback>
        <control shapeId="1031" r:id="rId12" name="CheckBox11"/>
      </mc:Fallback>
    </mc:AlternateContent>
    <mc:AlternateContent xmlns:mc="http://schemas.openxmlformats.org/markup-compatibility/2006">
      <mc:Choice Requires="x14">
        <control shapeId="1030" r:id="rId14" name="CheckBox10">
          <controlPr defaultSize="0" autoLine="0" r:id="rId9">
            <anchor moveWithCells="1">
              <from>
                <xdr:col>0</xdr:col>
                <xdr:colOff>371475</xdr:colOff>
                <xdr:row>23</xdr:row>
                <xdr:rowOff>38100</xdr:rowOff>
              </from>
              <to>
                <xdr:col>0</xdr:col>
                <xdr:colOff>571500</xdr:colOff>
                <xdr:row>23</xdr:row>
                <xdr:rowOff>266700</xdr:rowOff>
              </to>
            </anchor>
          </controlPr>
        </control>
      </mc:Choice>
      <mc:Fallback>
        <control shapeId="1030" r:id="rId14" name="CheckBox10"/>
      </mc:Fallback>
    </mc:AlternateContent>
    <mc:AlternateContent xmlns:mc="http://schemas.openxmlformats.org/markup-compatibility/2006">
      <mc:Choice Requires="x14">
        <control shapeId="1029" r:id="rId15" name="CheckBox9">
          <controlPr defaultSize="0" autoLine="0" r:id="rId16">
            <anchor moveWithCells="1">
              <from>
                <xdr:col>0</xdr:col>
                <xdr:colOff>390525</xdr:colOff>
                <xdr:row>21</xdr:row>
                <xdr:rowOff>28575</xdr:rowOff>
              </from>
              <to>
                <xdr:col>0</xdr:col>
                <xdr:colOff>590550</xdr:colOff>
                <xdr:row>21</xdr:row>
                <xdr:rowOff>371475</xdr:rowOff>
              </to>
            </anchor>
          </controlPr>
        </control>
      </mc:Choice>
      <mc:Fallback>
        <control shapeId="1029" r:id="rId15" name="CheckBox9"/>
      </mc:Fallback>
    </mc:AlternateContent>
    <mc:AlternateContent xmlns:mc="http://schemas.openxmlformats.org/markup-compatibility/2006">
      <mc:Choice Requires="x14">
        <control shapeId="1028" r:id="rId17" name="CheckBox8">
          <controlPr defaultSize="0" autoLine="0" r:id="rId9">
            <anchor moveWithCells="1">
              <from>
                <xdr:col>0</xdr:col>
                <xdr:colOff>409575</xdr:colOff>
                <xdr:row>11</xdr:row>
                <xdr:rowOff>57150</xdr:rowOff>
              </from>
              <to>
                <xdr:col>1</xdr:col>
                <xdr:colOff>0</xdr:colOff>
                <xdr:row>11</xdr:row>
                <xdr:rowOff>285750</xdr:rowOff>
              </to>
            </anchor>
          </controlPr>
        </control>
      </mc:Choice>
      <mc:Fallback>
        <control shapeId="1028" r:id="rId17" name="CheckBox8"/>
      </mc:Fallback>
    </mc:AlternateContent>
    <mc:AlternateContent xmlns:mc="http://schemas.openxmlformats.org/markup-compatibility/2006">
      <mc:Choice Requires="x14">
        <control shapeId="1027" r:id="rId18" name="CheckBox1">
          <controlPr defaultSize="0" autoLine="0" r:id="rId9">
            <anchor moveWithCells="1">
              <from>
                <xdr:col>0</xdr:col>
                <xdr:colOff>400050</xdr:colOff>
                <xdr:row>7</xdr:row>
                <xdr:rowOff>76200</xdr:rowOff>
              </from>
              <to>
                <xdr:col>0</xdr:col>
                <xdr:colOff>600075</xdr:colOff>
                <xdr:row>7</xdr:row>
                <xdr:rowOff>304800</xdr:rowOff>
              </to>
            </anchor>
          </controlPr>
        </control>
      </mc:Choice>
      <mc:Fallback>
        <control shapeId="1027" r:id="rId18" name="CheckBox1"/>
      </mc:Fallback>
    </mc:AlternateContent>
    <mc:AlternateContent xmlns:mc="http://schemas.openxmlformats.org/markup-compatibility/2006">
      <mc:Choice Requires="x14">
        <control shapeId="1026" r:id="rId19" name="CheckBox2">
          <controlPr defaultSize="0" autoLine="0" r:id="rId9">
            <anchor moveWithCells="1">
              <from>
                <xdr:col>0</xdr:col>
                <xdr:colOff>400050</xdr:colOff>
                <xdr:row>9</xdr:row>
                <xdr:rowOff>66675</xdr:rowOff>
              </from>
              <to>
                <xdr:col>0</xdr:col>
                <xdr:colOff>600075</xdr:colOff>
                <xdr:row>9</xdr:row>
                <xdr:rowOff>295275</xdr:rowOff>
              </to>
            </anchor>
          </controlPr>
        </control>
      </mc:Choice>
      <mc:Fallback>
        <control shapeId="1026" r:id="rId19" name="CheckBox2"/>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F0732-E6CA-4189-ACDE-FEF1A00ADF47}">
  <sheetPr codeName="Sheet10"/>
  <dimension ref="A1:I152"/>
  <sheetViews>
    <sheetView workbookViewId="0">
      <pane ySplit="1" topLeftCell="A2" activePane="bottomLeft" state="frozen"/>
      <selection activeCell="F32" sqref="F32"/>
      <selection pane="bottomLeft" activeCell="F32" sqref="F32"/>
    </sheetView>
  </sheetViews>
  <sheetFormatPr defaultRowHeight="15" x14ac:dyDescent="0.25"/>
  <cols>
    <col min="1" max="1" width="41.5703125" bestFit="1" customWidth="1"/>
    <col min="2" max="2" width="25.7109375" bestFit="1" customWidth="1"/>
    <col min="3" max="3" width="11.85546875" bestFit="1" customWidth="1"/>
    <col min="4" max="4" width="19" bestFit="1" customWidth="1"/>
    <col min="5" max="5" width="16.42578125" bestFit="1" customWidth="1"/>
    <col min="6" max="6" width="10.28515625" bestFit="1" customWidth="1"/>
    <col min="7" max="7" width="12" bestFit="1" customWidth="1"/>
  </cols>
  <sheetData>
    <row r="1" spans="1:9" ht="45" x14ac:dyDescent="0.25">
      <c r="A1" s="12" t="s">
        <v>966</v>
      </c>
      <c r="B1" s="12" t="s">
        <v>73</v>
      </c>
      <c r="C1" s="13" t="s">
        <v>967</v>
      </c>
      <c r="D1" s="14" t="s">
        <v>968</v>
      </c>
      <c r="E1" s="63" t="s">
        <v>1268</v>
      </c>
      <c r="F1" s="12" t="s">
        <v>969</v>
      </c>
      <c r="G1" s="3" t="s">
        <v>1445</v>
      </c>
    </row>
    <row r="2" spans="1:9" x14ac:dyDescent="0.25">
      <c r="A2" t="s">
        <v>970</v>
      </c>
      <c r="B2" t="s">
        <v>971</v>
      </c>
      <c r="C2">
        <v>5</v>
      </c>
      <c r="D2">
        <v>127500</v>
      </c>
      <c r="E2">
        <v>0</v>
      </c>
      <c r="F2">
        <v>796</v>
      </c>
      <c r="G2" t="s">
        <v>1310</v>
      </c>
      <c r="I2" t="s">
        <v>1360</v>
      </c>
    </row>
    <row r="3" spans="1:9" x14ac:dyDescent="0.25">
      <c r="A3" t="s">
        <v>972</v>
      </c>
      <c r="B3" t="s">
        <v>973</v>
      </c>
      <c r="C3" s="21">
        <v>11</v>
      </c>
      <c r="D3" s="20">
        <v>268344</v>
      </c>
      <c r="E3" s="19">
        <v>0</v>
      </c>
      <c r="F3" s="18">
        <v>1194</v>
      </c>
      <c r="G3" s="25" t="s">
        <v>1364</v>
      </c>
      <c r="I3" s="19" t="s">
        <v>1361</v>
      </c>
    </row>
    <row r="4" spans="1:9" x14ac:dyDescent="0.25">
      <c r="A4" t="s">
        <v>974</v>
      </c>
      <c r="B4" t="s">
        <v>975</v>
      </c>
      <c r="C4">
        <v>129</v>
      </c>
      <c r="D4">
        <v>4109193</v>
      </c>
      <c r="E4">
        <v>21488</v>
      </c>
      <c r="F4">
        <v>18016</v>
      </c>
      <c r="G4" t="s">
        <v>1311</v>
      </c>
      <c r="I4" s="7" t="s">
        <v>1365</v>
      </c>
    </row>
    <row r="5" spans="1:9" x14ac:dyDescent="0.25">
      <c r="A5" t="s">
        <v>976</v>
      </c>
      <c r="B5" t="s">
        <v>977</v>
      </c>
      <c r="C5">
        <v>34</v>
      </c>
      <c r="D5">
        <v>365988</v>
      </c>
      <c r="E5">
        <v>330635</v>
      </c>
      <c r="F5">
        <v>7262</v>
      </c>
      <c r="G5" t="s">
        <v>1312</v>
      </c>
      <c r="I5" s="28" t="s">
        <v>1375</v>
      </c>
    </row>
    <row r="6" spans="1:9" x14ac:dyDescent="0.25">
      <c r="A6" t="s">
        <v>978</v>
      </c>
      <c r="B6" t="s">
        <v>979</v>
      </c>
      <c r="C6">
        <v>225</v>
      </c>
      <c r="D6">
        <v>6000000</v>
      </c>
      <c r="E6">
        <v>1100000</v>
      </c>
      <c r="F6">
        <v>26500</v>
      </c>
      <c r="G6" t="s">
        <v>1313</v>
      </c>
      <c r="I6" s="60" t="s">
        <v>1444</v>
      </c>
    </row>
    <row r="7" spans="1:9" x14ac:dyDescent="0.25">
      <c r="A7" t="s">
        <v>980</v>
      </c>
      <c r="B7" t="s">
        <v>981</v>
      </c>
      <c r="C7">
        <v>4</v>
      </c>
      <c r="D7">
        <v>80000</v>
      </c>
      <c r="E7">
        <v>0</v>
      </c>
      <c r="F7">
        <v>493</v>
      </c>
      <c r="G7" t="s">
        <v>1314</v>
      </c>
    </row>
    <row r="8" spans="1:9" x14ac:dyDescent="0.25">
      <c r="A8" t="s">
        <v>982</v>
      </c>
      <c r="B8" t="s">
        <v>983</v>
      </c>
      <c r="C8">
        <v>4</v>
      </c>
      <c r="D8">
        <v>7500</v>
      </c>
      <c r="E8">
        <v>0</v>
      </c>
      <c r="F8">
        <v>363</v>
      </c>
      <c r="G8" s="17" t="s">
        <v>1367</v>
      </c>
    </row>
    <row r="9" spans="1:9" x14ac:dyDescent="0.25">
      <c r="A9" t="s">
        <v>984</v>
      </c>
      <c r="B9" t="s">
        <v>985</v>
      </c>
      <c r="C9">
        <v>4</v>
      </c>
      <c r="D9">
        <v>230885</v>
      </c>
      <c r="E9" s="22">
        <v>0</v>
      </c>
      <c r="F9">
        <v>534</v>
      </c>
      <c r="G9" t="s">
        <v>1315</v>
      </c>
    </row>
    <row r="10" spans="1:9" x14ac:dyDescent="0.25">
      <c r="A10" t="s">
        <v>986</v>
      </c>
      <c r="B10" t="s">
        <v>987</v>
      </c>
      <c r="C10" s="21">
        <v>6</v>
      </c>
      <c r="D10" s="20">
        <v>156081</v>
      </c>
      <c r="E10" s="19">
        <v>33823</v>
      </c>
      <c r="F10" s="20">
        <v>1392</v>
      </c>
      <c r="G10" s="25" t="s">
        <v>1366</v>
      </c>
    </row>
    <row r="11" spans="1:9" x14ac:dyDescent="0.25">
      <c r="A11" t="s">
        <v>988</v>
      </c>
      <c r="B11" t="s">
        <v>989</v>
      </c>
      <c r="C11">
        <v>38</v>
      </c>
      <c r="D11">
        <v>326884</v>
      </c>
      <c r="E11">
        <v>206060</v>
      </c>
      <c r="F11">
        <v>2233</v>
      </c>
      <c r="G11" t="s">
        <v>1316</v>
      </c>
    </row>
    <row r="12" spans="1:9" x14ac:dyDescent="0.25">
      <c r="A12" t="s">
        <v>990</v>
      </c>
      <c r="B12" t="s">
        <v>991</v>
      </c>
      <c r="C12">
        <v>5</v>
      </c>
      <c r="D12">
        <v>138266</v>
      </c>
      <c r="E12">
        <v>41150</v>
      </c>
      <c r="F12">
        <v>446</v>
      </c>
      <c r="G12" t="s">
        <v>1317</v>
      </c>
    </row>
    <row r="13" spans="1:9" x14ac:dyDescent="0.25">
      <c r="A13" t="s">
        <v>992</v>
      </c>
      <c r="B13" t="s">
        <v>993</v>
      </c>
      <c r="C13">
        <v>19</v>
      </c>
      <c r="D13">
        <v>334992</v>
      </c>
      <c r="E13">
        <v>601872</v>
      </c>
      <c r="F13">
        <v>1682</v>
      </c>
      <c r="G13" t="s">
        <v>1318</v>
      </c>
    </row>
    <row r="14" spans="1:9" x14ac:dyDescent="0.25">
      <c r="A14" t="s">
        <v>994</v>
      </c>
      <c r="B14" t="s">
        <v>995</v>
      </c>
      <c r="C14">
        <v>130</v>
      </c>
      <c r="D14">
        <v>5930882</v>
      </c>
      <c r="E14">
        <v>45025</v>
      </c>
      <c r="F14">
        <v>24718</v>
      </c>
      <c r="G14" t="s">
        <v>1319</v>
      </c>
    </row>
    <row r="15" spans="1:9" x14ac:dyDescent="0.25">
      <c r="A15" t="s">
        <v>996</v>
      </c>
      <c r="B15" t="s">
        <v>997</v>
      </c>
      <c r="C15">
        <v>10</v>
      </c>
      <c r="D15">
        <v>276809</v>
      </c>
      <c r="E15">
        <v>75482</v>
      </c>
      <c r="F15">
        <v>1550</v>
      </c>
      <c r="G15" t="s">
        <v>1320</v>
      </c>
    </row>
    <row r="16" spans="1:9" x14ac:dyDescent="0.25">
      <c r="A16" t="s">
        <v>998</v>
      </c>
      <c r="B16" t="s">
        <v>999</v>
      </c>
      <c r="C16" s="21">
        <v>12.1</v>
      </c>
      <c r="D16" s="18">
        <v>401687</v>
      </c>
      <c r="E16" s="18">
        <v>94962</v>
      </c>
      <c r="F16" s="18">
        <v>2759</v>
      </c>
      <c r="G16" s="25" t="s">
        <v>1368</v>
      </c>
    </row>
    <row r="17" spans="1:8" x14ac:dyDescent="0.25">
      <c r="A17" s="16" t="s">
        <v>1000</v>
      </c>
      <c r="B17" s="16" t="s">
        <v>1001</v>
      </c>
      <c r="C17" s="23"/>
      <c r="D17" s="23"/>
      <c r="E17" s="23"/>
      <c r="F17" s="23"/>
      <c r="G17" s="25" t="s">
        <v>1369</v>
      </c>
    </row>
    <row r="18" spans="1:8" x14ac:dyDescent="0.25">
      <c r="A18" t="s">
        <v>1002</v>
      </c>
      <c r="B18" t="s">
        <v>1003</v>
      </c>
      <c r="C18">
        <v>28</v>
      </c>
      <c r="D18">
        <v>845272</v>
      </c>
      <c r="E18">
        <v>273353</v>
      </c>
      <c r="F18">
        <v>3240</v>
      </c>
      <c r="G18" t="s">
        <v>1321</v>
      </c>
    </row>
    <row r="19" spans="1:8" x14ac:dyDescent="0.25">
      <c r="A19" t="s">
        <v>1004</v>
      </c>
      <c r="B19" t="s">
        <v>1005</v>
      </c>
      <c r="C19" s="21">
        <v>19</v>
      </c>
      <c r="D19" s="18">
        <v>268488</v>
      </c>
      <c r="E19" s="18">
        <v>107105</v>
      </c>
      <c r="F19" s="18">
        <v>1974</v>
      </c>
      <c r="G19" s="25" t="s">
        <v>1370</v>
      </c>
    </row>
    <row r="20" spans="1:8" x14ac:dyDescent="0.25">
      <c r="A20" t="s">
        <v>1006</v>
      </c>
      <c r="B20" t="s">
        <v>1007</v>
      </c>
      <c r="C20">
        <v>26</v>
      </c>
      <c r="D20">
        <v>526422</v>
      </c>
      <c r="E20">
        <v>615100</v>
      </c>
      <c r="F20">
        <v>3353</v>
      </c>
      <c r="G20" t="s">
        <v>1322</v>
      </c>
    </row>
    <row r="21" spans="1:8" x14ac:dyDescent="0.25">
      <c r="A21" t="s">
        <v>1008</v>
      </c>
      <c r="B21" t="s">
        <v>1009</v>
      </c>
      <c r="C21">
        <v>10</v>
      </c>
      <c r="D21">
        <v>384695</v>
      </c>
      <c r="E21">
        <v>37200</v>
      </c>
      <c r="F21">
        <v>1796</v>
      </c>
      <c r="G21" t="s">
        <v>1323</v>
      </c>
    </row>
    <row r="22" spans="1:8" x14ac:dyDescent="0.25">
      <c r="A22" t="s">
        <v>1010</v>
      </c>
      <c r="B22" t="s">
        <v>1011</v>
      </c>
      <c r="C22">
        <v>4</v>
      </c>
      <c r="D22">
        <v>87500</v>
      </c>
      <c r="E22">
        <v>0</v>
      </c>
      <c r="F22">
        <v>480</v>
      </c>
      <c r="G22" t="s">
        <v>1324</v>
      </c>
    </row>
    <row r="23" spans="1:8" x14ac:dyDescent="0.25">
      <c r="A23" t="s">
        <v>1012</v>
      </c>
      <c r="B23" t="s">
        <v>1013</v>
      </c>
      <c r="C23">
        <v>12</v>
      </c>
      <c r="D23">
        <v>3239978</v>
      </c>
      <c r="E23">
        <v>1222576</v>
      </c>
      <c r="F23">
        <v>16210</v>
      </c>
      <c r="G23" t="s">
        <v>1325</v>
      </c>
    </row>
    <row r="24" spans="1:8" x14ac:dyDescent="0.25">
      <c r="A24" t="s">
        <v>1014</v>
      </c>
      <c r="B24" t="s">
        <v>1015</v>
      </c>
      <c r="C24">
        <v>11</v>
      </c>
      <c r="D24">
        <v>477000</v>
      </c>
      <c r="E24">
        <v>150000</v>
      </c>
      <c r="F24">
        <v>2836</v>
      </c>
      <c r="G24" t="s">
        <v>1326</v>
      </c>
    </row>
    <row r="25" spans="1:8" x14ac:dyDescent="0.25">
      <c r="A25" t="s">
        <v>1016</v>
      </c>
      <c r="B25" t="s">
        <v>1017</v>
      </c>
      <c r="C25">
        <v>3</v>
      </c>
      <c r="D25">
        <v>30526</v>
      </c>
      <c r="E25">
        <v>36066</v>
      </c>
      <c r="F25">
        <v>346</v>
      </c>
      <c r="G25" t="s">
        <v>1327</v>
      </c>
    </row>
    <row r="26" spans="1:8" x14ac:dyDescent="0.25">
      <c r="A26" s="16" t="s">
        <v>1018</v>
      </c>
      <c r="B26" s="16" t="s">
        <v>1019</v>
      </c>
      <c r="C26" s="21">
        <v>21</v>
      </c>
      <c r="D26" s="18">
        <v>1614451</v>
      </c>
      <c r="E26" s="18">
        <v>505777</v>
      </c>
      <c r="F26" s="24">
        <v>6091</v>
      </c>
      <c r="G26" s="25" t="s">
        <v>1371</v>
      </c>
      <c r="H26" s="16" t="s">
        <v>1328</v>
      </c>
    </row>
    <row r="27" spans="1:8" x14ac:dyDescent="0.25">
      <c r="A27" t="s">
        <v>1020</v>
      </c>
      <c r="B27" t="s">
        <v>1021</v>
      </c>
      <c r="C27">
        <v>27</v>
      </c>
      <c r="D27">
        <v>390000</v>
      </c>
      <c r="E27">
        <v>100000</v>
      </c>
      <c r="F27">
        <v>1360</v>
      </c>
      <c r="G27" t="s">
        <v>1329</v>
      </c>
    </row>
    <row r="28" spans="1:8" x14ac:dyDescent="0.25">
      <c r="A28" t="s">
        <v>1022</v>
      </c>
      <c r="B28" t="s">
        <v>1023</v>
      </c>
      <c r="C28" s="21">
        <v>4</v>
      </c>
      <c r="D28" s="18">
        <v>138680</v>
      </c>
      <c r="E28" s="18">
        <v>1173124</v>
      </c>
      <c r="F28" s="18">
        <v>513</v>
      </c>
      <c r="G28" s="25" t="s">
        <v>1372</v>
      </c>
    </row>
    <row r="29" spans="1:8" x14ac:dyDescent="0.25">
      <c r="A29" t="s">
        <v>1024</v>
      </c>
      <c r="B29" t="s">
        <v>1025</v>
      </c>
      <c r="C29">
        <v>30</v>
      </c>
      <c r="D29">
        <v>2391000</v>
      </c>
      <c r="E29">
        <v>446797</v>
      </c>
      <c r="F29">
        <v>4063</v>
      </c>
      <c r="G29" t="s">
        <v>1330</v>
      </c>
    </row>
    <row r="30" spans="1:8" x14ac:dyDescent="0.25">
      <c r="A30" s="26" t="s">
        <v>1026</v>
      </c>
      <c r="B30" s="26" t="s">
        <v>1027</v>
      </c>
      <c r="C30" s="21">
        <v>2</v>
      </c>
      <c r="D30" s="18">
        <v>113529</v>
      </c>
      <c r="E30" s="18">
        <v>33093</v>
      </c>
      <c r="F30" s="18">
        <v>215</v>
      </c>
      <c r="G30" s="27" t="s">
        <v>1373</v>
      </c>
      <c r="H30" s="26" t="s">
        <v>1374</v>
      </c>
    </row>
    <row r="31" spans="1:8" x14ac:dyDescent="0.25">
      <c r="A31" t="s">
        <v>1028</v>
      </c>
      <c r="B31" t="s">
        <v>1029</v>
      </c>
      <c r="C31">
        <v>11</v>
      </c>
      <c r="D31">
        <v>363940</v>
      </c>
      <c r="E31">
        <v>111000</v>
      </c>
      <c r="F31">
        <v>1540</v>
      </c>
      <c r="G31" s="7" t="s">
        <v>1376</v>
      </c>
    </row>
    <row r="32" spans="1:8" x14ac:dyDescent="0.25">
      <c r="A32" t="s">
        <v>1030</v>
      </c>
      <c r="B32" t="s">
        <v>1031</v>
      </c>
      <c r="C32">
        <v>2</v>
      </c>
      <c r="D32">
        <v>14400</v>
      </c>
      <c r="E32">
        <v>29184</v>
      </c>
      <c r="F32" s="7"/>
      <c r="G32" t="s">
        <v>1331</v>
      </c>
    </row>
    <row r="33" spans="1:8" x14ac:dyDescent="0.25">
      <c r="A33" t="s">
        <v>1032</v>
      </c>
      <c r="B33" t="s">
        <v>1033</v>
      </c>
      <c r="C33">
        <v>95</v>
      </c>
      <c r="D33">
        <v>1907692</v>
      </c>
      <c r="E33">
        <v>1087347</v>
      </c>
      <c r="F33">
        <v>9500</v>
      </c>
      <c r="G33" s="25" t="s">
        <v>1377</v>
      </c>
    </row>
    <row r="34" spans="1:8" x14ac:dyDescent="0.25">
      <c r="A34" t="s">
        <v>1034</v>
      </c>
      <c r="B34" t="s">
        <v>1035</v>
      </c>
      <c r="C34" s="21">
        <v>16</v>
      </c>
      <c r="D34" s="18">
        <v>417297</v>
      </c>
      <c r="E34" s="18">
        <v>65711</v>
      </c>
      <c r="F34" s="18">
        <v>2844</v>
      </c>
      <c r="G34" s="25" t="s">
        <v>1378</v>
      </c>
    </row>
    <row r="35" spans="1:8" x14ac:dyDescent="0.25">
      <c r="A35" s="29" t="s">
        <v>1036</v>
      </c>
      <c r="B35" s="29" t="s">
        <v>1037</v>
      </c>
      <c r="C35" s="30"/>
      <c r="D35" s="30"/>
      <c r="E35" s="30"/>
      <c r="F35" s="30"/>
      <c r="G35" s="30"/>
      <c r="H35" t="s">
        <v>1379</v>
      </c>
    </row>
    <row r="36" spans="1:8" x14ac:dyDescent="0.25">
      <c r="A36" t="s">
        <v>1038</v>
      </c>
      <c r="B36" t="s">
        <v>1039</v>
      </c>
      <c r="C36">
        <v>66</v>
      </c>
      <c r="D36">
        <v>112790</v>
      </c>
      <c r="E36">
        <v>0</v>
      </c>
      <c r="F36">
        <v>1189</v>
      </c>
      <c r="G36" t="s">
        <v>1332</v>
      </c>
    </row>
    <row r="37" spans="1:8" x14ac:dyDescent="0.25">
      <c r="A37" t="s">
        <v>1040</v>
      </c>
      <c r="B37" t="s">
        <v>1041</v>
      </c>
      <c r="C37" s="21">
        <v>4</v>
      </c>
      <c r="D37" s="18">
        <v>131610</v>
      </c>
      <c r="E37" s="18">
        <v>0</v>
      </c>
      <c r="F37" s="18">
        <v>497</v>
      </c>
      <c r="G37" s="25" t="s">
        <v>1380</v>
      </c>
    </row>
    <row r="38" spans="1:8" x14ac:dyDescent="0.25">
      <c r="A38" t="s">
        <v>1042</v>
      </c>
      <c r="B38" t="s">
        <v>1043</v>
      </c>
      <c r="C38">
        <v>7</v>
      </c>
      <c r="D38">
        <v>109000</v>
      </c>
      <c r="E38">
        <v>7800</v>
      </c>
      <c r="F38">
        <v>737</v>
      </c>
      <c r="G38" t="s">
        <v>1333</v>
      </c>
    </row>
    <row r="39" spans="1:8" x14ac:dyDescent="0.25">
      <c r="A39" t="s">
        <v>1044</v>
      </c>
      <c r="B39" t="s">
        <v>1045</v>
      </c>
      <c r="C39" s="21">
        <v>3.5</v>
      </c>
      <c r="D39" s="18">
        <v>17313</v>
      </c>
      <c r="E39" s="18">
        <v>0</v>
      </c>
      <c r="F39" s="18">
        <v>367</v>
      </c>
      <c r="G39" s="25" t="s">
        <v>1381</v>
      </c>
    </row>
    <row r="40" spans="1:8" x14ac:dyDescent="0.25">
      <c r="A40" t="s">
        <v>1046</v>
      </c>
      <c r="B40" t="s">
        <v>1047</v>
      </c>
      <c r="C40">
        <v>23</v>
      </c>
      <c r="D40">
        <v>444387</v>
      </c>
      <c r="E40">
        <v>213348</v>
      </c>
      <c r="F40">
        <v>3718</v>
      </c>
      <c r="G40" t="s">
        <v>1334</v>
      </c>
    </row>
    <row r="41" spans="1:8" x14ac:dyDescent="0.25">
      <c r="A41" s="29" t="s">
        <v>1048</v>
      </c>
      <c r="B41" s="29" t="s">
        <v>1049</v>
      </c>
      <c r="C41" s="29">
        <v>12</v>
      </c>
      <c r="D41" s="29">
        <v>408174</v>
      </c>
      <c r="E41" s="29">
        <v>75000</v>
      </c>
      <c r="F41" s="29">
        <v>2188</v>
      </c>
      <c r="G41" s="29"/>
      <c r="H41" t="s">
        <v>1382</v>
      </c>
    </row>
    <row r="42" spans="1:8" x14ac:dyDescent="0.25">
      <c r="A42" t="s">
        <v>1050</v>
      </c>
      <c r="B42" t="s">
        <v>1051</v>
      </c>
      <c r="C42">
        <v>75</v>
      </c>
      <c r="D42">
        <v>2042500</v>
      </c>
      <c r="E42">
        <v>820000</v>
      </c>
      <c r="F42">
        <v>10666</v>
      </c>
      <c r="G42" t="s">
        <v>1335</v>
      </c>
    </row>
    <row r="43" spans="1:8" x14ac:dyDescent="0.25">
      <c r="A43" t="s">
        <v>1052</v>
      </c>
      <c r="B43" t="s">
        <v>1053</v>
      </c>
      <c r="C43">
        <v>130</v>
      </c>
      <c r="D43">
        <v>4947454</v>
      </c>
      <c r="E43">
        <v>1497285</v>
      </c>
      <c r="F43">
        <v>23352</v>
      </c>
      <c r="G43" t="s">
        <v>1336</v>
      </c>
    </row>
    <row r="44" spans="1:8" x14ac:dyDescent="0.25">
      <c r="A44" t="s">
        <v>1054</v>
      </c>
      <c r="B44" t="s">
        <v>1055</v>
      </c>
      <c r="C44">
        <v>92</v>
      </c>
      <c r="D44">
        <v>1915762</v>
      </c>
      <c r="E44">
        <v>0</v>
      </c>
      <c r="F44">
        <v>13351</v>
      </c>
      <c r="G44" t="s">
        <v>1337</v>
      </c>
    </row>
    <row r="45" spans="1:8" x14ac:dyDescent="0.25">
      <c r="A45" t="s">
        <v>1056</v>
      </c>
      <c r="B45" t="s">
        <v>1057</v>
      </c>
      <c r="C45">
        <v>13</v>
      </c>
      <c r="D45">
        <v>302578</v>
      </c>
      <c r="E45">
        <v>289342</v>
      </c>
      <c r="F45">
        <v>1527</v>
      </c>
      <c r="G45" t="s">
        <v>1338</v>
      </c>
    </row>
    <row r="46" spans="1:8" x14ac:dyDescent="0.25">
      <c r="A46" t="s">
        <v>1058</v>
      </c>
      <c r="B46" t="s">
        <v>1059</v>
      </c>
      <c r="C46">
        <v>5</v>
      </c>
      <c r="D46">
        <v>164300</v>
      </c>
      <c r="E46">
        <v>84300</v>
      </c>
      <c r="F46">
        <v>471</v>
      </c>
      <c r="G46" t="s">
        <v>1340</v>
      </c>
    </row>
    <row r="47" spans="1:8" x14ac:dyDescent="0.25">
      <c r="A47" t="s">
        <v>1060</v>
      </c>
      <c r="B47" t="s">
        <v>1061</v>
      </c>
      <c r="C47">
        <v>7</v>
      </c>
      <c r="D47">
        <v>2000000</v>
      </c>
      <c r="E47">
        <v>481000</v>
      </c>
      <c r="F47">
        <v>1799</v>
      </c>
      <c r="G47" t="s">
        <v>1339</v>
      </c>
    </row>
    <row r="48" spans="1:8" x14ac:dyDescent="0.25">
      <c r="A48" t="s">
        <v>1062</v>
      </c>
      <c r="B48" t="s">
        <v>1063</v>
      </c>
      <c r="C48">
        <v>3</v>
      </c>
      <c r="D48">
        <v>24234</v>
      </c>
      <c r="E48">
        <v>18960</v>
      </c>
      <c r="F48">
        <v>287</v>
      </c>
      <c r="G48" t="s">
        <v>1341</v>
      </c>
    </row>
    <row r="49" spans="1:8" x14ac:dyDescent="0.25">
      <c r="A49" t="s">
        <v>1064</v>
      </c>
      <c r="B49" t="s">
        <v>1065</v>
      </c>
      <c r="C49">
        <v>6</v>
      </c>
      <c r="D49">
        <v>140000</v>
      </c>
      <c r="E49">
        <v>0</v>
      </c>
      <c r="F49">
        <v>1176</v>
      </c>
      <c r="G49" t="s">
        <v>1342</v>
      </c>
    </row>
    <row r="50" spans="1:8" x14ac:dyDescent="0.25">
      <c r="A50" t="s">
        <v>1066</v>
      </c>
      <c r="B50" t="s">
        <v>1067</v>
      </c>
      <c r="C50" s="23">
        <v>0</v>
      </c>
      <c r="D50" s="23"/>
      <c r="E50" s="23"/>
      <c r="F50" s="23"/>
      <c r="G50" s="23"/>
    </row>
    <row r="51" spans="1:8" x14ac:dyDescent="0.25">
      <c r="A51" t="s">
        <v>1068</v>
      </c>
      <c r="B51" t="s">
        <v>1069</v>
      </c>
      <c r="C51" s="21">
        <v>2.89</v>
      </c>
      <c r="D51" s="18">
        <v>175641</v>
      </c>
      <c r="E51" s="18">
        <v>110542</v>
      </c>
      <c r="F51" s="18">
        <v>624</v>
      </c>
      <c r="G51" s="25" t="s">
        <v>1383</v>
      </c>
    </row>
    <row r="52" spans="1:8" x14ac:dyDescent="0.25">
      <c r="A52" t="s">
        <v>1070</v>
      </c>
      <c r="B52" t="s">
        <v>1071</v>
      </c>
      <c r="C52">
        <v>6</v>
      </c>
      <c r="D52">
        <v>100000</v>
      </c>
      <c r="E52">
        <v>36000</v>
      </c>
      <c r="F52">
        <v>1020</v>
      </c>
      <c r="G52" s="7" t="s">
        <v>1384</v>
      </c>
    </row>
    <row r="53" spans="1:8" x14ac:dyDescent="0.25">
      <c r="A53" t="s">
        <v>1072</v>
      </c>
      <c r="B53" t="s">
        <v>1073</v>
      </c>
      <c r="C53">
        <v>11</v>
      </c>
      <c r="D53">
        <v>220000</v>
      </c>
      <c r="E53">
        <v>41700</v>
      </c>
      <c r="F53">
        <v>2067</v>
      </c>
      <c r="G53" t="s">
        <v>1343</v>
      </c>
    </row>
    <row r="54" spans="1:8" x14ac:dyDescent="0.25">
      <c r="A54" t="s">
        <v>1074</v>
      </c>
      <c r="B54" t="s">
        <v>1075</v>
      </c>
      <c r="C54">
        <v>8</v>
      </c>
      <c r="D54">
        <v>189000</v>
      </c>
      <c r="E54">
        <v>257000</v>
      </c>
      <c r="F54">
        <v>1364</v>
      </c>
      <c r="G54" t="s">
        <v>1344</v>
      </c>
    </row>
    <row r="55" spans="1:8" x14ac:dyDescent="0.25">
      <c r="A55" t="s">
        <v>1076</v>
      </c>
      <c r="B55" t="s">
        <v>1077</v>
      </c>
      <c r="C55">
        <v>14</v>
      </c>
      <c r="E55">
        <v>67800</v>
      </c>
      <c r="F55">
        <v>1151</v>
      </c>
      <c r="G55" t="s">
        <v>1345</v>
      </c>
    </row>
    <row r="56" spans="1:8" x14ac:dyDescent="0.25">
      <c r="A56" t="s">
        <v>1078</v>
      </c>
      <c r="B56" t="s">
        <v>1079</v>
      </c>
      <c r="C56">
        <v>102</v>
      </c>
      <c r="D56">
        <v>1748094</v>
      </c>
      <c r="E56">
        <v>1253692</v>
      </c>
      <c r="F56">
        <v>16361</v>
      </c>
      <c r="G56" t="s">
        <v>1346</v>
      </c>
      <c r="H56" t="s">
        <v>1347</v>
      </c>
    </row>
    <row r="57" spans="1:8" x14ac:dyDescent="0.25">
      <c r="A57" t="s">
        <v>1080</v>
      </c>
      <c r="B57" t="s">
        <v>1081</v>
      </c>
      <c r="C57">
        <v>4</v>
      </c>
      <c r="D57">
        <v>84149</v>
      </c>
      <c r="E57">
        <v>98460</v>
      </c>
      <c r="F57">
        <v>681</v>
      </c>
      <c r="G57" t="s">
        <v>1386</v>
      </c>
    </row>
    <row r="58" spans="1:8" x14ac:dyDescent="0.25">
      <c r="A58" t="s">
        <v>1082</v>
      </c>
      <c r="B58" t="s">
        <v>1083</v>
      </c>
      <c r="C58">
        <v>6</v>
      </c>
      <c r="D58">
        <v>459082</v>
      </c>
      <c r="E58">
        <v>190633</v>
      </c>
      <c r="F58">
        <v>708</v>
      </c>
      <c r="G58" s="25" t="s">
        <v>1385</v>
      </c>
    </row>
    <row r="59" spans="1:8" x14ac:dyDescent="0.25">
      <c r="A59" t="s">
        <v>1084</v>
      </c>
      <c r="B59" t="s">
        <v>1085</v>
      </c>
      <c r="C59" s="21">
        <v>2.5</v>
      </c>
      <c r="D59" s="18">
        <v>10512</v>
      </c>
      <c r="E59" s="18">
        <v>0</v>
      </c>
      <c r="F59" s="18">
        <v>178</v>
      </c>
      <c r="G59" s="25" t="s">
        <v>1387</v>
      </c>
    </row>
    <row r="60" spans="1:8" x14ac:dyDescent="0.25">
      <c r="A60" t="s">
        <v>1086</v>
      </c>
      <c r="B60" t="s">
        <v>1087</v>
      </c>
      <c r="C60" s="21">
        <v>93.8</v>
      </c>
      <c r="D60" s="18">
        <v>2320589</v>
      </c>
      <c r="E60" s="18">
        <v>3190064</v>
      </c>
      <c r="F60" s="18">
        <v>14599</v>
      </c>
      <c r="G60" s="25" t="s">
        <v>1388</v>
      </c>
    </row>
    <row r="61" spans="1:8" x14ac:dyDescent="0.25">
      <c r="A61" t="s">
        <v>1088</v>
      </c>
      <c r="B61" t="s">
        <v>1089</v>
      </c>
      <c r="C61" s="21">
        <v>27.81</v>
      </c>
      <c r="D61" s="18">
        <v>972138</v>
      </c>
      <c r="E61" s="18">
        <v>952480</v>
      </c>
      <c r="F61" s="18">
        <v>6656</v>
      </c>
      <c r="G61" s="25" t="s">
        <v>1389</v>
      </c>
    </row>
    <row r="62" spans="1:8" x14ac:dyDescent="0.25">
      <c r="A62" t="s">
        <v>1090</v>
      </c>
      <c r="B62" t="s">
        <v>1091</v>
      </c>
      <c r="C62">
        <v>38</v>
      </c>
      <c r="D62">
        <v>1042689</v>
      </c>
      <c r="E62">
        <v>894112</v>
      </c>
      <c r="F62">
        <v>6414</v>
      </c>
      <c r="G62" t="s">
        <v>1348</v>
      </c>
    </row>
    <row r="63" spans="1:8" x14ac:dyDescent="0.25">
      <c r="A63" t="s">
        <v>1092</v>
      </c>
      <c r="B63" t="s">
        <v>1093</v>
      </c>
      <c r="C63" s="21">
        <v>10</v>
      </c>
      <c r="D63" s="18"/>
      <c r="E63" s="18"/>
      <c r="F63" s="18"/>
      <c r="G63" s="25" t="s">
        <v>1390</v>
      </c>
    </row>
    <row r="64" spans="1:8" x14ac:dyDescent="0.25">
      <c r="A64" t="s">
        <v>1094</v>
      </c>
      <c r="B64" t="s">
        <v>1095</v>
      </c>
      <c r="C64">
        <v>3</v>
      </c>
      <c r="D64">
        <v>166565</v>
      </c>
      <c r="E64">
        <v>90144</v>
      </c>
      <c r="F64">
        <v>504</v>
      </c>
      <c r="G64" t="s">
        <v>1349</v>
      </c>
    </row>
    <row r="65" spans="1:7" x14ac:dyDescent="0.25">
      <c r="A65" t="s">
        <v>1096</v>
      </c>
      <c r="B65" t="s">
        <v>1097</v>
      </c>
      <c r="C65" s="21">
        <v>15</v>
      </c>
      <c r="D65" s="21"/>
      <c r="E65" s="21"/>
      <c r="F65" s="21"/>
      <c r="G65" s="25" t="s">
        <v>1391</v>
      </c>
    </row>
    <row r="66" spans="1:7" x14ac:dyDescent="0.25">
      <c r="A66" t="s">
        <v>1098</v>
      </c>
      <c r="B66" t="s">
        <v>1099</v>
      </c>
      <c r="C66">
        <v>15</v>
      </c>
      <c r="D66">
        <v>466000</v>
      </c>
      <c r="E66">
        <v>164000</v>
      </c>
      <c r="F66">
        <v>2499</v>
      </c>
      <c r="G66" t="s">
        <v>1350</v>
      </c>
    </row>
    <row r="67" spans="1:7" x14ac:dyDescent="0.25">
      <c r="A67" t="s">
        <v>1100</v>
      </c>
      <c r="B67" t="s">
        <v>1101</v>
      </c>
      <c r="C67">
        <v>10</v>
      </c>
      <c r="D67">
        <v>388792</v>
      </c>
      <c r="E67">
        <v>256000</v>
      </c>
      <c r="F67">
        <v>1705</v>
      </c>
      <c r="G67" t="s">
        <v>1351</v>
      </c>
    </row>
    <row r="68" spans="1:7" x14ac:dyDescent="0.25">
      <c r="A68" t="s">
        <v>1102</v>
      </c>
      <c r="B68" t="s">
        <v>1103</v>
      </c>
      <c r="C68">
        <v>10</v>
      </c>
      <c r="D68">
        <v>385000</v>
      </c>
      <c r="E68">
        <v>233292</v>
      </c>
      <c r="F68">
        <v>1620</v>
      </c>
      <c r="G68" t="s">
        <v>1352</v>
      </c>
    </row>
    <row r="69" spans="1:7" x14ac:dyDescent="0.25">
      <c r="A69" t="s">
        <v>1104</v>
      </c>
      <c r="B69" t="s">
        <v>1105</v>
      </c>
      <c r="C69">
        <v>37</v>
      </c>
      <c r="D69">
        <v>1799445</v>
      </c>
      <c r="E69">
        <v>1583832</v>
      </c>
      <c r="F69">
        <v>6726</v>
      </c>
      <c r="G69" t="s">
        <v>1353</v>
      </c>
    </row>
    <row r="70" spans="1:7" x14ac:dyDescent="0.25">
      <c r="A70" t="s">
        <v>1106</v>
      </c>
      <c r="B70" t="s">
        <v>1107</v>
      </c>
      <c r="C70">
        <v>6</v>
      </c>
      <c r="D70">
        <v>85339</v>
      </c>
      <c r="E70">
        <v>7469</v>
      </c>
      <c r="F70">
        <v>600</v>
      </c>
      <c r="G70" t="s">
        <v>1354</v>
      </c>
    </row>
    <row r="71" spans="1:7" x14ac:dyDescent="0.25">
      <c r="A71" s="15" t="s">
        <v>1108</v>
      </c>
      <c r="B71" t="s">
        <v>1109</v>
      </c>
      <c r="C71">
        <v>17</v>
      </c>
      <c r="D71">
        <v>2284722</v>
      </c>
      <c r="E71">
        <v>1384336</v>
      </c>
      <c r="F71">
        <v>3458</v>
      </c>
      <c r="G71" s="16">
        <v>66079</v>
      </c>
    </row>
    <row r="72" spans="1:7" x14ac:dyDescent="0.25">
      <c r="A72" t="s">
        <v>1110</v>
      </c>
      <c r="B72" t="s">
        <v>1111</v>
      </c>
      <c r="C72">
        <v>31</v>
      </c>
      <c r="D72">
        <v>492279</v>
      </c>
      <c r="E72">
        <v>439566</v>
      </c>
      <c r="F72">
        <v>4004</v>
      </c>
      <c r="G72" t="s">
        <v>1355</v>
      </c>
    </row>
    <row r="73" spans="1:7" x14ac:dyDescent="0.25">
      <c r="A73" t="s">
        <v>1112</v>
      </c>
      <c r="B73" t="s">
        <v>1113</v>
      </c>
      <c r="C73" s="21">
        <v>2</v>
      </c>
      <c r="D73" s="18">
        <v>65472</v>
      </c>
      <c r="E73" s="18">
        <v>18368</v>
      </c>
      <c r="F73" s="18">
        <v>214</v>
      </c>
      <c r="G73" s="25" t="s">
        <v>1392</v>
      </c>
    </row>
    <row r="74" spans="1:7" x14ac:dyDescent="0.25">
      <c r="A74" t="s">
        <v>1114</v>
      </c>
      <c r="B74" t="s">
        <v>1115</v>
      </c>
      <c r="C74">
        <v>33</v>
      </c>
      <c r="D74">
        <v>1079376</v>
      </c>
      <c r="E74">
        <v>736663</v>
      </c>
      <c r="F74">
        <v>4745</v>
      </c>
      <c r="G74" t="s">
        <v>1356</v>
      </c>
    </row>
    <row r="75" spans="1:7" x14ac:dyDescent="0.25">
      <c r="A75" t="s">
        <v>1116</v>
      </c>
      <c r="B75" t="s">
        <v>1117</v>
      </c>
      <c r="C75">
        <v>4</v>
      </c>
      <c r="D75">
        <v>258000</v>
      </c>
      <c r="E75">
        <v>150000</v>
      </c>
      <c r="F75">
        <v>780</v>
      </c>
      <c r="G75" t="s">
        <v>1357</v>
      </c>
    </row>
    <row r="76" spans="1:7" x14ac:dyDescent="0.25">
      <c r="A76" t="s">
        <v>1118</v>
      </c>
      <c r="B76" t="s">
        <v>1119</v>
      </c>
      <c r="C76" s="21">
        <v>16</v>
      </c>
      <c r="D76" s="18">
        <v>453992</v>
      </c>
      <c r="E76" s="18">
        <v>61966</v>
      </c>
      <c r="F76" s="18">
        <v>2396</v>
      </c>
      <c r="G76" s="25" t="s">
        <v>1393</v>
      </c>
    </row>
    <row r="77" spans="1:7" x14ac:dyDescent="0.25">
      <c r="A77" t="s">
        <v>1120</v>
      </c>
      <c r="B77" t="s">
        <v>1121</v>
      </c>
      <c r="C77" s="21">
        <v>11.4</v>
      </c>
      <c r="D77" s="18">
        <v>460291</v>
      </c>
      <c r="E77" s="18">
        <v>0</v>
      </c>
      <c r="F77" s="18">
        <v>1518</v>
      </c>
      <c r="G77" s="25" t="s">
        <v>1394</v>
      </c>
    </row>
    <row r="78" spans="1:7" x14ac:dyDescent="0.25">
      <c r="A78" s="17" t="s">
        <v>1122</v>
      </c>
      <c r="B78" s="17" t="s">
        <v>1123</v>
      </c>
      <c r="C78">
        <v>83</v>
      </c>
      <c r="D78">
        <v>3961137</v>
      </c>
      <c r="E78">
        <v>2066094</v>
      </c>
      <c r="F78">
        <v>13680</v>
      </c>
      <c r="G78" t="s">
        <v>1358</v>
      </c>
    </row>
    <row r="79" spans="1:7" x14ac:dyDescent="0.25">
      <c r="A79" t="s">
        <v>1124</v>
      </c>
      <c r="B79" t="s">
        <v>1125</v>
      </c>
      <c r="C79">
        <v>11</v>
      </c>
      <c r="D79">
        <v>220417</v>
      </c>
      <c r="E79">
        <v>417135</v>
      </c>
      <c r="F79">
        <v>1749</v>
      </c>
      <c r="G79" s="7" t="s">
        <v>1395</v>
      </c>
    </row>
    <row r="80" spans="1:7" x14ac:dyDescent="0.25">
      <c r="A80" t="s">
        <v>1126</v>
      </c>
      <c r="B80" t="s">
        <v>1127</v>
      </c>
      <c r="C80" s="21">
        <v>1.65</v>
      </c>
      <c r="D80" s="18">
        <v>85794</v>
      </c>
      <c r="E80" s="18">
        <v>55195</v>
      </c>
      <c r="F80" s="18">
        <v>319</v>
      </c>
      <c r="G80" s="25" t="s">
        <v>1396</v>
      </c>
    </row>
    <row r="81" spans="1:8" x14ac:dyDescent="0.25">
      <c r="A81" t="s">
        <v>1128</v>
      </c>
      <c r="B81" t="s">
        <v>1129</v>
      </c>
      <c r="C81" s="21">
        <v>0.57999999999999996</v>
      </c>
      <c r="D81" s="18">
        <v>48475</v>
      </c>
      <c r="E81" s="18">
        <v>0</v>
      </c>
      <c r="F81" s="18">
        <v>103</v>
      </c>
      <c r="G81" s="25" t="s">
        <v>1397</v>
      </c>
    </row>
    <row r="82" spans="1:8" x14ac:dyDescent="0.25">
      <c r="A82" s="16" t="s">
        <v>1130</v>
      </c>
      <c r="B82" s="16" t="s">
        <v>1131</v>
      </c>
      <c r="C82" s="61">
        <v>4.2</v>
      </c>
      <c r="D82" s="24">
        <v>133110</v>
      </c>
      <c r="E82" s="24">
        <v>0</v>
      </c>
      <c r="F82" s="24">
        <v>2903</v>
      </c>
      <c r="G82" s="25" t="s">
        <v>1398</v>
      </c>
      <c r="H82" s="16" t="s">
        <v>1362</v>
      </c>
    </row>
    <row r="83" spans="1:8" x14ac:dyDescent="0.25">
      <c r="A83" t="s">
        <v>1132</v>
      </c>
      <c r="B83" t="s">
        <v>1133</v>
      </c>
      <c r="C83" s="21">
        <v>26</v>
      </c>
      <c r="D83" s="18">
        <v>840517</v>
      </c>
      <c r="E83" s="18">
        <v>0</v>
      </c>
      <c r="F83" s="18">
        <v>3602</v>
      </c>
      <c r="G83" s="25" t="s">
        <v>1399</v>
      </c>
    </row>
    <row r="84" spans="1:8" x14ac:dyDescent="0.25">
      <c r="A84" t="s">
        <v>1134</v>
      </c>
      <c r="B84" t="s">
        <v>1135</v>
      </c>
      <c r="C84">
        <v>73</v>
      </c>
      <c r="D84">
        <v>1450000</v>
      </c>
      <c r="E84">
        <v>680000</v>
      </c>
      <c r="F84">
        <v>5329</v>
      </c>
      <c r="G84" t="s">
        <v>1359</v>
      </c>
    </row>
    <row r="85" spans="1:8" x14ac:dyDescent="0.25">
      <c r="A85" t="s">
        <v>1136</v>
      </c>
      <c r="B85" t="s">
        <v>1137</v>
      </c>
      <c r="C85" s="21">
        <v>22.5</v>
      </c>
      <c r="D85" s="18">
        <v>565798</v>
      </c>
      <c r="E85" s="18">
        <v>605985</v>
      </c>
      <c r="F85" s="18">
        <v>3249</v>
      </c>
      <c r="G85" s="25" t="s">
        <v>1400</v>
      </c>
    </row>
    <row r="86" spans="1:8" x14ac:dyDescent="0.25">
      <c r="A86" t="s">
        <v>1138</v>
      </c>
      <c r="B86" t="s">
        <v>1139</v>
      </c>
      <c r="C86">
        <v>7</v>
      </c>
      <c r="D86">
        <v>189000</v>
      </c>
      <c r="E86">
        <v>0</v>
      </c>
      <c r="F86">
        <v>875</v>
      </c>
      <c r="G86" t="s">
        <v>1269</v>
      </c>
    </row>
    <row r="87" spans="1:8" x14ac:dyDescent="0.25">
      <c r="A87" t="s">
        <v>1140</v>
      </c>
      <c r="B87" t="s">
        <v>1141</v>
      </c>
      <c r="C87">
        <v>32</v>
      </c>
      <c r="D87">
        <v>1000000</v>
      </c>
      <c r="E87">
        <v>60000</v>
      </c>
      <c r="F87">
        <v>5286</v>
      </c>
      <c r="G87" t="s">
        <v>1270</v>
      </c>
    </row>
    <row r="88" spans="1:8" x14ac:dyDescent="0.25">
      <c r="A88" t="s">
        <v>1142</v>
      </c>
      <c r="B88" t="s">
        <v>1143</v>
      </c>
      <c r="C88" s="21">
        <v>6</v>
      </c>
      <c r="D88" s="18">
        <v>275866</v>
      </c>
      <c r="E88" s="18">
        <v>305461</v>
      </c>
      <c r="F88" s="18">
        <v>680</v>
      </c>
      <c r="G88" s="25" t="s">
        <v>1401</v>
      </c>
    </row>
    <row r="89" spans="1:8" x14ac:dyDescent="0.25">
      <c r="A89" t="s">
        <v>1144</v>
      </c>
      <c r="B89" t="s">
        <v>1145</v>
      </c>
      <c r="C89">
        <v>18</v>
      </c>
      <c r="D89">
        <v>202116</v>
      </c>
      <c r="E89">
        <v>494689</v>
      </c>
      <c r="F89">
        <v>2104</v>
      </c>
      <c r="G89" t="s">
        <v>1271</v>
      </c>
    </row>
    <row r="90" spans="1:8" x14ac:dyDescent="0.25">
      <c r="A90" s="16" t="s">
        <v>1146</v>
      </c>
      <c r="B90" s="16" t="s">
        <v>1147</v>
      </c>
      <c r="C90" s="23">
        <v>30</v>
      </c>
      <c r="D90" s="23"/>
      <c r="E90" s="23"/>
      <c r="F90" s="23"/>
      <c r="G90" s="23"/>
    </row>
    <row r="91" spans="1:8" x14ac:dyDescent="0.25">
      <c r="A91" t="s">
        <v>1148</v>
      </c>
      <c r="B91" t="s">
        <v>1149</v>
      </c>
      <c r="C91">
        <v>2</v>
      </c>
      <c r="D91">
        <v>30000</v>
      </c>
      <c r="E91">
        <v>55951</v>
      </c>
      <c r="F91">
        <v>295</v>
      </c>
      <c r="G91" t="s">
        <v>1272</v>
      </c>
    </row>
    <row r="92" spans="1:8" x14ac:dyDescent="0.25">
      <c r="A92" t="s">
        <v>1150</v>
      </c>
      <c r="B92" t="s">
        <v>1151</v>
      </c>
      <c r="C92">
        <v>43</v>
      </c>
      <c r="D92">
        <v>1330236</v>
      </c>
      <c r="E92">
        <v>1010100</v>
      </c>
      <c r="F92">
        <v>7508</v>
      </c>
      <c r="G92" t="s">
        <v>1273</v>
      </c>
    </row>
    <row r="93" spans="1:8" x14ac:dyDescent="0.25">
      <c r="A93" t="s">
        <v>1152</v>
      </c>
      <c r="B93" t="s">
        <v>1153</v>
      </c>
      <c r="C93">
        <v>8</v>
      </c>
      <c r="D93">
        <v>339439</v>
      </c>
      <c r="E93">
        <v>124536</v>
      </c>
      <c r="F93">
        <v>1206</v>
      </c>
      <c r="G93" s="7" t="s">
        <v>1402</v>
      </c>
    </row>
    <row r="94" spans="1:8" x14ac:dyDescent="0.25">
      <c r="A94" t="s">
        <v>1154</v>
      </c>
      <c r="B94" t="s">
        <v>1155</v>
      </c>
      <c r="C94">
        <v>81</v>
      </c>
      <c r="D94">
        <v>4080000</v>
      </c>
      <c r="E94">
        <v>710000</v>
      </c>
      <c r="F94">
        <v>13522</v>
      </c>
      <c r="G94" t="s">
        <v>1274</v>
      </c>
    </row>
    <row r="95" spans="1:8" x14ac:dyDescent="0.25">
      <c r="A95" t="s">
        <v>1156</v>
      </c>
      <c r="B95" t="s">
        <v>1157</v>
      </c>
      <c r="C95" s="21">
        <v>22.25</v>
      </c>
      <c r="D95" s="18">
        <v>586908</v>
      </c>
      <c r="E95" s="18">
        <v>725574</v>
      </c>
      <c r="F95" s="18">
        <v>3863</v>
      </c>
      <c r="G95" s="25" t="s">
        <v>1403</v>
      </c>
    </row>
    <row r="96" spans="1:8" x14ac:dyDescent="0.25">
      <c r="A96" t="s">
        <v>1158</v>
      </c>
      <c r="B96" t="s">
        <v>1159</v>
      </c>
      <c r="C96" s="21">
        <v>2.75</v>
      </c>
      <c r="D96" s="18">
        <v>119571</v>
      </c>
      <c r="E96" s="18">
        <v>39500</v>
      </c>
      <c r="F96" s="18">
        <v>388</v>
      </c>
      <c r="G96" s="25" t="s">
        <v>1404</v>
      </c>
    </row>
    <row r="97" spans="1:8" x14ac:dyDescent="0.25">
      <c r="A97" t="s">
        <v>1160</v>
      </c>
      <c r="B97" t="s">
        <v>1161</v>
      </c>
      <c r="C97">
        <v>24</v>
      </c>
      <c r="D97">
        <v>347044</v>
      </c>
      <c r="E97">
        <v>233204</v>
      </c>
      <c r="F97">
        <v>2484</v>
      </c>
      <c r="G97" t="s">
        <v>1275</v>
      </c>
    </row>
    <row r="98" spans="1:8" x14ac:dyDescent="0.25">
      <c r="A98" t="s">
        <v>1162</v>
      </c>
      <c r="B98" s="16" t="s">
        <v>1163</v>
      </c>
      <c r="C98" s="21">
        <v>68.5</v>
      </c>
      <c r="D98" s="18">
        <v>1289632</v>
      </c>
      <c r="E98" s="18">
        <v>994490</v>
      </c>
      <c r="F98" s="18">
        <v>19966</v>
      </c>
      <c r="G98" s="25" t="s">
        <v>1405</v>
      </c>
      <c r="H98" s="16" t="s">
        <v>1363</v>
      </c>
    </row>
    <row r="99" spans="1:8" x14ac:dyDescent="0.25">
      <c r="A99" t="s">
        <v>1164</v>
      </c>
      <c r="B99" t="s">
        <v>1165</v>
      </c>
      <c r="C99">
        <v>130</v>
      </c>
      <c r="D99">
        <v>2600000</v>
      </c>
      <c r="E99">
        <v>40000</v>
      </c>
      <c r="F99">
        <v>25599</v>
      </c>
      <c r="G99" t="s">
        <v>1276</v>
      </c>
    </row>
    <row r="100" spans="1:8" x14ac:dyDescent="0.25">
      <c r="A100" s="29" t="s">
        <v>1166</v>
      </c>
      <c r="B100" s="29" t="s">
        <v>1167</v>
      </c>
      <c r="C100" s="30">
        <v>100</v>
      </c>
      <c r="D100" s="30"/>
      <c r="E100" s="30"/>
      <c r="F100" s="30"/>
      <c r="G100" s="30"/>
      <c r="H100" t="s">
        <v>1379</v>
      </c>
    </row>
    <row r="101" spans="1:8" x14ac:dyDescent="0.25">
      <c r="A101" t="s">
        <v>1168</v>
      </c>
      <c r="B101" t="s">
        <v>1169</v>
      </c>
      <c r="C101">
        <v>14</v>
      </c>
      <c r="D101">
        <v>739108</v>
      </c>
      <c r="E101">
        <v>1248704</v>
      </c>
      <c r="F101">
        <v>2510</v>
      </c>
      <c r="G101" t="s">
        <v>1277</v>
      </c>
    </row>
    <row r="102" spans="1:8" x14ac:dyDescent="0.25">
      <c r="A102" t="s">
        <v>1170</v>
      </c>
      <c r="B102" t="s">
        <v>1171</v>
      </c>
      <c r="C102">
        <v>3</v>
      </c>
      <c r="D102">
        <v>23000</v>
      </c>
      <c r="E102">
        <v>20000</v>
      </c>
      <c r="F102">
        <v>247</v>
      </c>
      <c r="G102" s="7" t="s">
        <v>1406</v>
      </c>
    </row>
    <row r="103" spans="1:8" x14ac:dyDescent="0.25">
      <c r="A103" t="s">
        <v>1172</v>
      </c>
      <c r="B103" t="s">
        <v>1173</v>
      </c>
      <c r="C103">
        <v>24</v>
      </c>
      <c r="D103">
        <v>628100</v>
      </c>
      <c r="E103">
        <v>0</v>
      </c>
      <c r="F103">
        <v>3318</v>
      </c>
      <c r="G103" t="s">
        <v>1278</v>
      </c>
    </row>
    <row r="104" spans="1:8" x14ac:dyDescent="0.25">
      <c r="A104" t="s">
        <v>1174</v>
      </c>
      <c r="B104" t="s">
        <v>1175</v>
      </c>
      <c r="C104">
        <v>36</v>
      </c>
      <c r="D104">
        <v>601898</v>
      </c>
      <c r="E104">
        <v>665105</v>
      </c>
      <c r="F104">
        <v>4317</v>
      </c>
      <c r="G104" t="s">
        <v>1279</v>
      </c>
    </row>
    <row r="105" spans="1:8" x14ac:dyDescent="0.25">
      <c r="A105" t="s">
        <v>1176</v>
      </c>
      <c r="B105" t="s">
        <v>1177</v>
      </c>
      <c r="C105">
        <v>24</v>
      </c>
      <c r="D105">
        <v>942485</v>
      </c>
      <c r="E105">
        <v>2969061</v>
      </c>
      <c r="F105">
        <v>4429</v>
      </c>
      <c r="G105" t="s">
        <v>1280</v>
      </c>
    </row>
    <row r="106" spans="1:8" x14ac:dyDescent="0.25">
      <c r="A106" t="s">
        <v>1176</v>
      </c>
      <c r="B106" t="s">
        <v>1178</v>
      </c>
      <c r="C106">
        <v>16</v>
      </c>
      <c r="D106">
        <v>985571</v>
      </c>
      <c r="E106">
        <v>41189</v>
      </c>
      <c r="F106">
        <v>3340</v>
      </c>
      <c r="G106" t="s">
        <v>1280</v>
      </c>
    </row>
    <row r="107" spans="1:8" x14ac:dyDescent="0.25">
      <c r="A107" t="s">
        <v>1179</v>
      </c>
      <c r="B107" t="s">
        <v>1180</v>
      </c>
      <c r="C107">
        <v>8</v>
      </c>
      <c r="D107">
        <v>184500</v>
      </c>
      <c r="E107">
        <v>45000</v>
      </c>
      <c r="F107">
        <v>1089</v>
      </c>
      <c r="G107" t="s">
        <v>1280</v>
      </c>
    </row>
    <row r="108" spans="1:8" x14ac:dyDescent="0.25">
      <c r="A108" t="s">
        <v>1181</v>
      </c>
      <c r="B108" t="s">
        <v>1182</v>
      </c>
      <c r="C108">
        <v>12</v>
      </c>
      <c r="D108">
        <v>301372</v>
      </c>
      <c r="E108">
        <v>67506</v>
      </c>
      <c r="F108">
        <v>1325</v>
      </c>
      <c r="G108" t="s">
        <v>1281</v>
      </c>
    </row>
    <row r="109" spans="1:8" x14ac:dyDescent="0.25">
      <c r="A109" t="s">
        <v>1183</v>
      </c>
      <c r="B109" t="s">
        <v>1184</v>
      </c>
      <c r="C109" s="21">
        <v>3.5</v>
      </c>
      <c r="D109" s="18">
        <v>61261</v>
      </c>
      <c r="E109" s="18">
        <v>6094</v>
      </c>
      <c r="F109" s="18">
        <v>520</v>
      </c>
      <c r="G109" s="25" t="s">
        <v>1407</v>
      </c>
    </row>
    <row r="110" spans="1:8" x14ac:dyDescent="0.25">
      <c r="A110" t="s">
        <v>1185</v>
      </c>
      <c r="B110" t="s">
        <v>1186</v>
      </c>
      <c r="C110">
        <v>12</v>
      </c>
      <c r="E110">
        <v>95000</v>
      </c>
      <c r="F110">
        <v>1427</v>
      </c>
      <c r="G110" s="7" t="s">
        <v>1408</v>
      </c>
    </row>
    <row r="111" spans="1:8" x14ac:dyDescent="0.25">
      <c r="A111" t="s">
        <v>1187</v>
      </c>
      <c r="B111" t="s">
        <v>1188</v>
      </c>
      <c r="C111">
        <v>130</v>
      </c>
      <c r="D111">
        <v>4838599</v>
      </c>
      <c r="E111">
        <v>456953</v>
      </c>
      <c r="F111">
        <v>16459</v>
      </c>
      <c r="G111" t="s">
        <v>1282</v>
      </c>
    </row>
    <row r="112" spans="1:8" x14ac:dyDescent="0.25">
      <c r="A112" t="s">
        <v>1189</v>
      </c>
      <c r="B112" t="s">
        <v>1190</v>
      </c>
      <c r="C112">
        <v>39</v>
      </c>
      <c r="D112">
        <v>751459</v>
      </c>
      <c r="E112">
        <v>94236</v>
      </c>
      <c r="F112">
        <v>5254</v>
      </c>
      <c r="G112" t="s">
        <v>1283</v>
      </c>
    </row>
    <row r="113" spans="1:7" x14ac:dyDescent="0.25">
      <c r="A113" t="s">
        <v>1191</v>
      </c>
      <c r="B113" t="s">
        <v>1192</v>
      </c>
      <c r="C113">
        <v>18</v>
      </c>
      <c r="D113">
        <v>443712</v>
      </c>
      <c r="E113">
        <v>204279</v>
      </c>
      <c r="F113">
        <v>1287</v>
      </c>
      <c r="G113" t="s">
        <v>1284</v>
      </c>
    </row>
    <row r="114" spans="1:7" x14ac:dyDescent="0.25">
      <c r="A114" t="s">
        <v>1193</v>
      </c>
      <c r="B114" t="s">
        <v>1194</v>
      </c>
      <c r="C114">
        <v>489</v>
      </c>
      <c r="D114">
        <v>11940063</v>
      </c>
      <c r="E114">
        <v>9705497</v>
      </c>
      <c r="F114">
        <v>111000</v>
      </c>
      <c r="G114" t="s">
        <v>1285</v>
      </c>
    </row>
    <row r="115" spans="1:7" x14ac:dyDescent="0.25">
      <c r="A115" t="s">
        <v>1195</v>
      </c>
      <c r="B115" t="s">
        <v>1196</v>
      </c>
      <c r="C115">
        <v>61</v>
      </c>
      <c r="D115">
        <v>523750</v>
      </c>
      <c r="E115">
        <v>0</v>
      </c>
      <c r="F115">
        <v>12539</v>
      </c>
      <c r="G115" s="7" t="s">
        <v>1409</v>
      </c>
    </row>
    <row r="116" spans="1:7" x14ac:dyDescent="0.25">
      <c r="A116" t="s">
        <v>1197</v>
      </c>
      <c r="B116" t="s">
        <v>1198</v>
      </c>
      <c r="C116">
        <v>15</v>
      </c>
      <c r="D116">
        <v>361500</v>
      </c>
      <c r="E116">
        <v>176550</v>
      </c>
      <c r="F116">
        <v>1772</v>
      </c>
      <c r="G116" s="25" t="s">
        <v>1410</v>
      </c>
    </row>
    <row r="117" spans="1:7" x14ac:dyDescent="0.25">
      <c r="A117" t="s">
        <v>1199</v>
      </c>
      <c r="B117" t="s">
        <v>1200</v>
      </c>
      <c r="C117">
        <v>5</v>
      </c>
      <c r="D117">
        <v>127750</v>
      </c>
      <c r="E117">
        <v>80750</v>
      </c>
      <c r="F117">
        <v>548</v>
      </c>
      <c r="G117" s="7" t="s">
        <v>1286</v>
      </c>
    </row>
    <row r="118" spans="1:7" x14ac:dyDescent="0.25">
      <c r="A118" t="s">
        <v>1201</v>
      </c>
      <c r="B118" t="s">
        <v>1202</v>
      </c>
      <c r="C118">
        <v>29</v>
      </c>
      <c r="D118">
        <v>1855000</v>
      </c>
      <c r="E118">
        <v>710172</v>
      </c>
      <c r="F118">
        <v>4605</v>
      </c>
      <c r="G118" t="s">
        <v>1287</v>
      </c>
    </row>
    <row r="119" spans="1:7" x14ac:dyDescent="0.25">
      <c r="A119" t="s">
        <v>1203</v>
      </c>
      <c r="B119" t="s">
        <v>1204</v>
      </c>
      <c r="C119">
        <v>94</v>
      </c>
      <c r="D119">
        <v>1487340</v>
      </c>
      <c r="E119">
        <v>303325</v>
      </c>
      <c r="F119">
        <v>17565</v>
      </c>
      <c r="G119" t="s">
        <v>1288</v>
      </c>
    </row>
    <row r="120" spans="1:7" x14ac:dyDescent="0.25">
      <c r="A120" t="s">
        <v>1205</v>
      </c>
      <c r="B120" t="s">
        <v>1206</v>
      </c>
      <c r="C120">
        <v>59</v>
      </c>
      <c r="D120">
        <v>3300000</v>
      </c>
      <c r="E120">
        <v>900000</v>
      </c>
      <c r="F120">
        <v>11758</v>
      </c>
      <c r="G120" t="s">
        <v>1289</v>
      </c>
    </row>
    <row r="121" spans="1:7" x14ac:dyDescent="0.25">
      <c r="A121" t="s">
        <v>1207</v>
      </c>
      <c r="B121" t="s">
        <v>1208</v>
      </c>
      <c r="C121">
        <v>33</v>
      </c>
      <c r="D121">
        <v>378778</v>
      </c>
      <c r="E121">
        <v>455721</v>
      </c>
      <c r="F121">
        <v>4435</v>
      </c>
      <c r="G121" t="s">
        <v>1290</v>
      </c>
    </row>
    <row r="122" spans="1:7" x14ac:dyDescent="0.25">
      <c r="A122" t="s">
        <v>1209</v>
      </c>
      <c r="B122" t="s">
        <v>1210</v>
      </c>
      <c r="C122">
        <v>13</v>
      </c>
      <c r="D122">
        <v>230245</v>
      </c>
      <c r="E122">
        <v>71410</v>
      </c>
      <c r="F122">
        <v>1137</v>
      </c>
      <c r="G122" t="s">
        <v>1411</v>
      </c>
    </row>
    <row r="123" spans="1:7" x14ac:dyDescent="0.25">
      <c r="A123" t="s">
        <v>1211</v>
      </c>
      <c r="B123" t="s">
        <v>1212</v>
      </c>
      <c r="C123" s="21">
        <v>25</v>
      </c>
      <c r="D123" s="21"/>
      <c r="E123" s="21"/>
      <c r="F123" s="21"/>
      <c r="G123" s="25" t="s">
        <v>1412</v>
      </c>
    </row>
    <row r="124" spans="1:7" x14ac:dyDescent="0.25">
      <c r="A124" t="s">
        <v>1213</v>
      </c>
      <c r="B124" t="s">
        <v>1214</v>
      </c>
      <c r="C124">
        <v>27</v>
      </c>
      <c r="D124">
        <v>405500</v>
      </c>
      <c r="E124">
        <v>21000</v>
      </c>
      <c r="F124">
        <v>2476</v>
      </c>
      <c r="G124" t="s">
        <v>1291</v>
      </c>
    </row>
    <row r="125" spans="1:7" x14ac:dyDescent="0.25">
      <c r="A125" t="s">
        <v>1215</v>
      </c>
      <c r="B125" t="s">
        <v>1216</v>
      </c>
      <c r="C125" s="21">
        <v>12</v>
      </c>
      <c r="D125" s="18">
        <v>396203</v>
      </c>
      <c r="E125" s="18">
        <v>63642</v>
      </c>
      <c r="F125" s="18">
        <v>2027</v>
      </c>
      <c r="G125" s="25" t="s">
        <v>1413</v>
      </c>
    </row>
    <row r="126" spans="1:7" x14ac:dyDescent="0.25">
      <c r="A126" t="s">
        <v>1217</v>
      </c>
      <c r="B126" t="s">
        <v>1218</v>
      </c>
      <c r="C126">
        <v>22</v>
      </c>
      <c r="D126">
        <v>411238</v>
      </c>
      <c r="E126">
        <v>91875</v>
      </c>
      <c r="F126">
        <v>2981</v>
      </c>
      <c r="G126" t="s">
        <v>1292</v>
      </c>
    </row>
    <row r="127" spans="1:7" x14ac:dyDescent="0.25">
      <c r="A127" t="s">
        <v>1219</v>
      </c>
      <c r="B127" t="s">
        <v>1220</v>
      </c>
      <c r="C127">
        <v>10</v>
      </c>
      <c r="D127">
        <v>279216</v>
      </c>
      <c r="E127">
        <v>69000</v>
      </c>
      <c r="F127">
        <v>1302</v>
      </c>
      <c r="G127" t="s">
        <v>1293</v>
      </c>
    </row>
    <row r="128" spans="1:7" x14ac:dyDescent="0.25">
      <c r="A128" t="s">
        <v>1221</v>
      </c>
      <c r="B128" t="s">
        <v>1222</v>
      </c>
      <c r="C128">
        <v>43</v>
      </c>
      <c r="D128">
        <v>834100</v>
      </c>
      <c r="E128">
        <v>73251</v>
      </c>
      <c r="F128">
        <v>8573</v>
      </c>
      <c r="G128" t="s">
        <v>1294</v>
      </c>
    </row>
    <row r="129" spans="1:7" x14ac:dyDescent="0.25">
      <c r="A129" t="s">
        <v>1223</v>
      </c>
      <c r="B129" t="s">
        <v>1224</v>
      </c>
      <c r="C129">
        <v>8</v>
      </c>
      <c r="D129">
        <v>253232</v>
      </c>
      <c r="E129">
        <v>98800</v>
      </c>
      <c r="F129">
        <v>747</v>
      </c>
      <c r="G129" t="s">
        <v>1295</v>
      </c>
    </row>
    <row r="130" spans="1:7" x14ac:dyDescent="0.25">
      <c r="A130" t="s">
        <v>1225</v>
      </c>
      <c r="B130" t="s">
        <v>1226</v>
      </c>
      <c r="C130">
        <v>8</v>
      </c>
      <c r="D130">
        <v>269405</v>
      </c>
      <c r="E130">
        <v>23838</v>
      </c>
      <c r="F130">
        <v>1115</v>
      </c>
      <c r="G130" t="s">
        <v>1296</v>
      </c>
    </row>
    <row r="131" spans="1:7" x14ac:dyDescent="0.25">
      <c r="A131" t="s">
        <v>1227</v>
      </c>
      <c r="B131" t="s">
        <v>1228</v>
      </c>
      <c r="C131">
        <v>73</v>
      </c>
      <c r="D131">
        <v>729371</v>
      </c>
      <c r="E131">
        <v>949428</v>
      </c>
      <c r="F131">
        <v>8712</v>
      </c>
      <c r="G131" t="s">
        <v>1297</v>
      </c>
    </row>
    <row r="132" spans="1:7" x14ac:dyDescent="0.25">
      <c r="A132" t="s">
        <v>1229</v>
      </c>
      <c r="B132" t="s">
        <v>1230</v>
      </c>
      <c r="C132">
        <v>4</v>
      </c>
      <c r="D132">
        <v>91803</v>
      </c>
      <c r="E132">
        <v>43350</v>
      </c>
      <c r="F132">
        <v>696</v>
      </c>
      <c r="G132" t="s">
        <v>1298</v>
      </c>
    </row>
    <row r="133" spans="1:7" x14ac:dyDescent="0.25">
      <c r="A133" t="s">
        <v>1231</v>
      </c>
      <c r="B133" t="s">
        <v>1232</v>
      </c>
      <c r="C133">
        <v>28</v>
      </c>
      <c r="D133">
        <v>1101606</v>
      </c>
      <c r="E133">
        <v>2304844</v>
      </c>
      <c r="F133">
        <v>4088</v>
      </c>
      <c r="G133" t="s">
        <v>1299</v>
      </c>
    </row>
    <row r="134" spans="1:7" x14ac:dyDescent="0.25">
      <c r="A134" t="s">
        <v>1233</v>
      </c>
      <c r="B134" t="s">
        <v>1234</v>
      </c>
      <c r="C134">
        <v>2</v>
      </c>
      <c r="D134">
        <v>34900</v>
      </c>
      <c r="E134">
        <v>64112</v>
      </c>
      <c r="F134">
        <v>225</v>
      </c>
      <c r="G134" t="s">
        <v>1300</v>
      </c>
    </row>
    <row r="135" spans="1:7" x14ac:dyDescent="0.25">
      <c r="A135" t="s">
        <v>1235</v>
      </c>
      <c r="B135" t="s">
        <v>1236</v>
      </c>
      <c r="C135">
        <v>7</v>
      </c>
      <c r="D135">
        <v>67298</v>
      </c>
      <c r="E135">
        <v>33831</v>
      </c>
      <c r="F135">
        <v>871</v>
      </c>
      <c r="G135" t="s">
        <v>1301</v>
      </c>
    </row>
    <row r="136" spans="1:7" x14ac:dyDescent="0.25">
      <c r="A136" t="s">
        <v>1237</v>
      </c>
      <c r="B136" t="s">
        <v>1238</v>
      </c>
      <c r="C136">
        <v>52</v>
      </c>
      <c r="D136">
        <v>1857951</v>
      </c>
      <c r="E136">
        <v>692160</v>
      </c>
      <c r="F136">
        <v>9410</v>
      </c>
      <c r="G136" t="s">
        <v>1302</v>
      </c>
    </row>
    <row r="137" spans="1:7" x14ac:dyDescent="0.25">
      <c r="A137" t="s">
        <v>1239</v>
      </c>
      <c r="B137" t="s">
        <v>1240</v>
      </c>
      <c r="C137">
        <v>26</v>
      </c>
      <c r="D137">
        <v>860000</v>
      </c>
      <c r="E137">
        <v>145000</v>
      </c>
      <c r="F137">
        <v>4451</v>
      </c>
      <c r="G137" t="s">
        <v>1303</v>
      </c>
    </row>
    <row r="138" spans="1:7" x14ac:dyDescent="0.25">
      <c r="A138" t="s">
        <v>1241</v>
      </c>
      <c r="B138" t="s">
        <v>1242</v>
      </c>
      <c r="C138">
        <v>30</v>
      </c>
      <c r="D138">
        <v>700000</v>
      </c>
      <c r="E138">
        <v>286000</v>
      </c>
      <c r="F138">
        <v>1868</v>
      </c>
      <c r="G138" t="s">
        <v>1304</v>
      </c>
    </row>
    <row r="139" spans="1:7" x14ac:dyDescent="0.25">
      <c r="A139" t="s">
        <v>1243</v>
      </c>
      <c r="B139" t="s">
        <v>1244</v>
      </c>
      <c r="C139">
        <v>9</v>
      </c>
      <c r="D139">
        <v>120007</v>
      </c>
      <c r="E139">
        <v>98960</v>
      </c>
      <c r="F139">
        <v>686</v>
      </c>
      <c r="G139" t="s">
        <v>1305</v>
      </c>
    </row>
    <row r="140" spans="1:7" x14ac:dyDescent="0.25">
      <c r="A140" t="s">
        <v>1245</v>
      </c>
      <c r="B140" t="s">
        <v>1246</v>
      </c>
      <c r="C140" s="21">
        <v>80.8</v>
      </c>
      <c r="D140" s="18"/>
      <c r="E140" s="18"/>
      <c r="F140" s="18"/>
      <c r="G140" s="25" t="s">
        <v>1306</v>
      </c>
    </row>
    <row r="141" spans="1:7" x14ac:dyDescent="0.25">
      <c r="A141" t="s">
        <v>1245</v>
      </c>
      <c r="B141" t="s">
        <v>1247</v>
      </c>
      <c r="C141">
        <v>32</v>
      </c>
      <c r="D141">
        <v>569793</v>
      </c>
      <c r="E141">
        <v>147000</v>
      </c>
      <c r="F141">
        <v>2343</v>
      </c>
      <c r="G141" t="s">
        <v>1306</v>
      </c>
    </row>
    <row r="142" spans="1:7" x14ac:dyDescent="0.25">
      <c r="A142" t="s">
        <v>1248</v>
      </c>
      <c r="B142" t="s">
        <v>1249</v>
      </c>
      <c r="C142">
        <v>2</v>
      </c>
      <c r="D142">
        <v>40600</v>
      </c>
      <c r="E142">
        <v>0</v>
      </c>
      <c r="F142">
        <v>192</v>
      </c>
    </row>
    <row r="143" spans="1:7" x14ac:dyDescent="0.25">
      <c r="A143" t="s">
        <v>1250</v>
      </c>
      <c r="B143" t="s">
        <v>71</v>
      </c>
      <c r="C143">
        <v>47</v>
      </c>
      <c r="D143">
        <v>111673</v>
      </c>
      <c r="E143">
        <v>0</v>
      </c>
      <c r="F143">
        <v>687</v>
      </c>
    </row>
    <row r="144" spans="1:7" x14ac:dyDescent="0.25">
      <c r="A144" t="s">
        <v>1251</v>
      </c>
      <c r="B144" t="s">
        <v>1252</v>
      </c>
      <c r="C144" s="21">
        <v>7</v>
      </c>
      <c r="D144" s="18">
        <v>112698</v>
      </c>
      <c r="E144" s="18">
        <v>104477</v>
      </c>
      <c r="F144" s="18">
        <v>861</v>
      </c>
      <c r="G144" s="25" t="s">
        <v>1414</v>
      </c>
    </row>
    <row r="145" spans="1:7" x14ac:dyDescent="0.25">
      <c r="A145" t="s">
        <v>1253</v>
      </c>
      <c r="B145" t="s">
        <v>1254</v>
      </c>
      <c r="C145">
        <v>115</v>
      </c>
      <c r="D145">
        <v>3002198</v>
      </c>
      <c r="E145">
        <v>4871453</v>
      </c>
      <c r="F145">
        <v>19610</v>
      </c>
      <c r="G145" t="s">
        <v>1307</v>
      </c>
    </row>
    <row r="146" spans="1:7" x14ac:dyDescent="0.25">
      <c r="A146" t="s">
        <v>1255</v>
      </c>
      <c r="B146" t="s">
        <v>1256</v>
      </c>
      <c r="C146">
        <v>42</v>
      </c>
      <c r="D146">
        <v>2066043</v>
      </c>
      <c r="E146">
        <v>1122179</v>
      </c>
      <c r="F146">
        <v>4646</v>
      </c>
    </row>
    <row r="147" spans="1:7" x14ac:dyDescent="0.25">
      <c r="A147" t="s">
        <v>1257</v>
      </c>
      <c r="B147" t="s">
        <v>1258</v>
      </c>
      <c r="C147">
        <v>27</v>
      </c>
      <c r="D147">
        <v>460905</v>
      </c>
      <c r="E147">
        <v>345874</v>
      </c>
      <c r="F147">
        <v>1437</v>
      </c>
      <c r="G147" t="s">
        <v>1308</v>
      </c>
    </row>
    <row r="148" spans="1:7" x14ac:dyDescent="0.25">
      <c r="A148" t="s">
        <v>1259</v>
      </c>
      <c r="B148" t="s">
        <v>1260</v>
      </c>
      <c r="C148" s="21">
        <v>6.44</v>
      </c>
      <c r="D148" s="18">
        <v>502982</v>
      </c>
      <c r="E148" s="18">
        <v>37125</v>
      </c>
      <c r="F148" s="18">
        <v>1332</v>
      </c>
      <c r="G148" s="25" t="s">
        <v>1415</v>
      </c>
    </row>
    <row r="149" spans="1:7" x14ac:dyDescent="0.25">
      <c r="A149" s="62" t="s">
        <v>1261</v>
      </c>
      <c r="B149" s="62" t="s">
        <v>1262</v>
      </c>
      <c r="C149" s="62"/>
      <c r="D149" s="62"/>
      <c r="E149" s="62"/>
      <c r="F149" s="62"/>
      <c r="G149" s="62"/>
    </row>
    <row r="150" spans="1:7" x14ac:dyDescent="0.25">
      <c r="A150" t="s">
        <v>1263</v>
      </c>
      <c r="B150" t="s">
        <v>1262</v>
      </c>
      <c r="C150" s="21">
        <v>63</v>
      </c>
      <c r="D150" s="18">
        <v>2611619</v>
      </c>
      <c r="E150" s="18">
        <v>241356</v>
      </c>
      <c r="F150" s="18">
        <v>13947</v>
      </c>
      <c r="G150" s="25" t="s">
        <v>1416</v>
      </c>
    </row>
    <row r="151" spans="1:7" x14ac:dyDescent="0.25">
      <c r="A151" t="s">
        <v>1264</v>
      </c>
      <c r="B151" t="s">
        <v>1265</v>
      </c>
      <c r="C151">
        <v>3</v>
      </c>
      <c r="D151">
        <v>189675</v>
      </c>
      <c r="E151">
        <v>51422</v>
      </c>
      <c r="F151">
        <v>444</v>
      </c>
      <c r="G151" s="7" t="s">
        <v>1417</v>
      </c>
    </row>
    <row r="152" spans="1:7" x14ac:dyDescent="0.25">
      <c r="A152" t="s">
        <v>1266</v>
      </c>
      <c r="B152" t="s">
        <v>1267</v>
      </c>
      <c r="C152">
        <v>33</v>
      </c>
      <c r="D152">
        <v>350000</v>
      </c>
      <c r="E152">
        <v>418000</v>
      </c>
      <c r="F152">
        <v>5228</v>
      </c>
      <c r="G152" t="s">
        <v>1309</v>
      </c>
    </row>
  </sheetData>
  <sheetProtection sheet="1" objects="1" scenarios="1"/>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105C6-6A22-44C9-8F2C-1478C1BB5311}">
  <sheetPr codeName="Sheet11"/>
  <dimension ref="A1:T89"/>
  <sheetViews>
    <sheetView workbookViewId="0">
      <selection activeCell="O2" sqref="O2"/>
    </sheetView>
  </sheetViews>
  <sheetFormatPr defaultColWidth="9.140625" defaultRowHeight="15" x14ac:dyDescent="0.25"/>
  <cols>
    <col min="1" max="1" width="45" style="66" bestFit="1" customWidth="1"/>
    <col min="2" max="2" width="16.85546875" style="66" bestFit="1" customWidth="1"/>
    <col min="3" max="3" width="11.42578125" style="66" bestFit="1" customWidth="1"/>
    <col min="4" max="5" width="11.42578125" style="66" customWidth="1"/>
    <col min="6" max="6" width="13" style="66" customWidth="1"/>
    <col min="7" max="7" width="29.28515625" style="108" customWidth="1"/>
    <col min="8" max="8" width="20.85546875" style="66" bestFit="1" customWidth="1"/>
    <col min="9" max="9" width="24.7109375" style="108" customWidth="1"/>
    <col min="10" max="10" width="9.5703125" style="66" bestFit="1" customWidth="1"/>
    <col min="11" max="11" width="10.5703125" style="66" bestFit="1" customWidth="1"/>
    <col min="12" max="12" width="9.42578125" style="66" bestFit="1" customWidth="1"/>
    <col min="13" max="13" width="11.42578125" style="66" bestFit="1" customWidth="1"/>
    <col min="14" max="14" width="23.28515625" style="66" bestFit="1" customWidth="1"/>
    <col min="15" max="16384" width="9.140625" style="66"/>
  </cols>
  <sheetData>
    <row r="1" spans="1:20" ht="45" x14ac:dyDescent="0.25">
      <c r="A1" s="66" t="s">
        <v>73</v>
      </c>
      <c r="B1" s="95" t="s">
        <v>2150</v>
      </c>
      <c r="C1" s="96" t="s">
        <v>2149</v>
      </c>
      <c r="D1" s="96" t="s">
        <v>2148</v>
      </c>
      <c r="E1" s="96" t="s">
        <v>2147</v>
      </c>
      <c r="F1" s="96" t="s">
        <v>2146</v>
      </c>
      <c r="G1" s="96" t="s">
        <v>2210</v>
      </c>
      <c r="H1" s="96" t="s">
        <v>2145</v>
      </c>
      <c r="I1" s="96" t="s">
        <v>2209</v>
      </c>
      <c r="J1" s="117" t="s">
        <v>2144</v>
      </c>
      <c r="K1" s="94" t="s">
        <v>2143</v>
      </c>
      <c r="L1" s="94" t="s">
        <v>2142</v>
      </c>
      <c r="M1" s="94" t="s">
        <v>2141</v>
      </c>
    </row>
    <row r="2" spans="1:20" x14ac:dyDescent="0.25">
      <c r="A2" s="66" t="s">
        <v>972</v>
      </c>
      <c r="B2" s="10" t="s">
        <v>2140</v>
      </c>
      <c r="C2" s="93">
        <v>0.22500000000000001</v>
      </c>
      <c r="D2" s="93" t="s">
        <v>2053</v>
      </c>
      <c r="E2" s="92">
        <f t="shared" ref="E2:E33" si="0">C2*8.86812+19.844</f>
        <v>21.839327000000001</v>
      </c>
      <c r="F2" s="91">
        <f t="shared" ref="F2:F33" si="1">-PMT(0.035,20,(C2*8.86812+19.844))</f>
        <v>1.5366385639366174</v>
      </c>
      <c r="G2" s="91">
        <f>F2*1.12</f>
        <v>1.7210351916090116</v>
      </c>
      <c r="H2" s="90">
        <f t="shared" ref="H2:H33" si="2">1.3903*F2 + 3.2246</f>
        <v>5.3609885954410794</v>
      </c>
      <c r="I2" s="90">
        <f>H2*1.12</f>
        <v>6.0043072268940092</v>
      </c>
      <c r="J2" s="118">
        <v>262468.57919999899</v>
      </c>
      <c r="K2" s="89">
        <v>4836623.0455</v>
      </c>
      <c r="L2" s="89">
        <v>43.644693500000002</v>
      </c>
      <c r="M2" s="89">
        <v>-95.944957470000006</v>
      </c>
      <c r="N2" s="66" t="s">
        <v>973</v>
      </c>
      <c r="O2" s="109" t="s">
        <v>2211</v>
      </c>
      <c r="P2" s="41"/>
      <c r="Q2" s="41"/>
      <c r="R2" s="41"/>
      <c r="S2" s="41"/>
      <c r="T2" s="41"/>
    </row>
    <row r="3" spans="1:20" x14ac:dyDescent="0.25">
      <c r="A3" s="66" t="s">
        <v>974</v>
      </c>
      <c r="B3" s="10" t="s">
        <v>2139</v>
      </c>
      <c r="C3" s="93">
        <v>18.38</v>
      </c>
      <c r="D3" s="93" t="s">
        <v>2053</v>
      </c>
      <c r="E3" s="92">
        <f t="shared" si="0"/>
        <v>182.84004559999997</v>
      </c>
      <c r="F3" s="91">
        <f t="shared" si="1"/>
        <v>12.86482248747361</v>
      </c>
      <c r="G3" s="91">
        <f t="shared" ref="G3:G66" si="3">F3*1.12</f>
        <v>14.408601185970445</v>
      </c>
      <c r="H3" s="90">
        <f t="shared" si="2"/>
        <v>21.110562704334559</v>
      </c>
      <c r="I3" s="90">
        <f t="shared" ref="I3:I66" si="4">H3*1.12</f>
        <v>23.643830228854707</v>
      </c>
      <c r="J3" s="118">
        <v>476443.50400000002</v>
      </c>
      <c r="K3" s="89">
        <v>4827893.7910000002</v>
      </c>
      <c r="L3" s="89">
        <v>43.603677099999899</v>
      </c>
      <c r="M3" s="89">
        <v>-93.291726760000003</v>
      </c>
      <c r="N3" s="66" t="s">
        <v>975</v>
      </c>
    </row>
    <row r="4" spans="1:20" x14ac:dyDescent="0.25">
      <c r="A4" s="66" t="s">
        <v>976</v>
      </c>
      <c r="B4" s="10" t="s">
        <v>2138</v>
      </c>
      <c r="C4" s="93">
        <v>0.94</v>
      </c>
      <c r="D4" s="93" t="s">
        <v>2053</v>
      </c>
      <c r="E4" s="92">
        <f t="shared" si="0"/>
        <v>28.180032799999999</v>
      </c>
      <c r="F4" s="91">
        <f t="shared" si="1"/>
        <v>1.9827774515889969</v>
      </c>
      <c r="G4" s="91">
        <f t="shared" si="3"/>
        <v>2.2207107457796766</v>
      </c>
      <c r="H4" s="90">
        <f t="shared" si="2"/>
        <v>5.9812554909441822</v>
      </c>
      <c r="I4" s="90">
        <f t="shared" si="4"/>
        <v>6.6990061498574844</v>
      </c>
      <c r="J4" s="118">
        <v>448965.63030000002</v>
      </c>
      <c r="K4" s="89">
        <v>5009910.9563999902</v>
      </c>
      <c r="L4" s="89">
        <v>45.240869199999899</v>
      </c>
      <c r="M4" s="89">
        <v>-93.650094690000003</v>
      </c>
      <c r="N4" s="66" t="s">
        <v>977</v>
      </c>
    </row>
    <row r="5" spans="1:20" x14ac:dyDescent="0.25">
      <c r="A5" s="66" t="s">
        <v>980</v>
      </c>
      <c r="B5" s="10" t="s">
        <v>2137</v>
      </c>
      <c r="C5" s="93">
        <v>0.35899999999999999</v>
      </c>
      <c r="D5" s="93" t="s">
        <v>2053</v>
      </c>
      <c r="E5" s="92">
        <f t="shared" si="0"/>
        <v>23.027655080000002</v>
      </c>
      <c r="F5" s="91">
        <f t="shared" si="1"/>
        <v>1.6202506072169234</v>
      </c>
      <c r="G5" s="91">
        <f t="shared" si="3"/>
        <v>1.8146806800829542</v>
      </c>
      <c r="H5" s="90">
        <f t="shared" si="2"/>
        <v>5.4772344192136888</v>
      </c>
      <c r="I5" s="90">
        <f t="shared" si="4"/>
        <v>6.1345025495193317</v>
      </c>
      <c r="J5" s="118">
        <v>584150.09459999902</v>
      </c>
      <c r="K5" s="89">
        <v>4880813.4625000004</v>
      </c>
      <c r="L5" s="89">
        <v>44.07569187</v>
      </c>
      <c r="M5" s="89">
        <v>-91.948919779999898</v>
      </c>
      <c r="N5" s="66" t="s">
        <v>981</v>
      </c>
    </row>
    <row r="6" spans="1:20" x14ac:dyDescent="0.25">
      <c r="A6" s="66" t="s">
        <v>984</v>
      </c>
      <c r="B6" s="10" t="s">
        <v>2136</v>
      </c>
      <c r="C6" s="93">
        <v>0.28699999999999998</v>
      </c>
      <c r="D6" s="93" t="s">
        <v>2053</v>
      </c>
      <c r="E6" s="92">
        <f t="shared" si="0"/>
        <v>22.389150440000002</v>
      </c>
      <c r="F6" s="91">
        <f t="shared" si="1"/>
        <v>1.5753247332155649</v>
      </c>
      <c r="G6" s="91">
        <f t="shared" si="3"/>
        <v>1.7643637012014328</v>
      </c>
      <c r="H6" s="90">
        <f t="shared" si="2"/>
        <v>5.4147739765896006</v>
      </c>
      <c r="I6" s="90">
        <f t="shared" si="4"/>
        <v>6.0645468537803531</v>
      </c>
      <c r="J6" s="118">
        <v>409423.5882</v>
      </c>
      <c r="K6" s="89">
        <v>4860052.8700999897</v>
      </c>
      <c r="L6" s="89">
        <v>43.888043189999898</v>
      </c>
      <c r="M6" s="89">
        <v>-94.127470759999895</v>
      </c>
      <c r="N6" s="66" t="s">
        <v>985</v>
      </c>
    </row>
    <row r="7" spans="1:20" x14ac:dyDescent="0.25">
      <c r="A7" s="66" t="s">
        <v>986</v>
      </c>
      <c r="B7" s="10" t="s">
        <v>2135</v>
      </c>
      <c r="C7" s="93">
        <v>0.44</v>
      </c>
      <c r="D7" s="93" t="s">
        <v>2053</v>
      </c>
      <c r="E7" s="92">
        <f t="shared" si="0"/>
        <v>23.745972800000001</v>
      </c>
      <c r="F7" s="91">
        <f t="shared" si="1"/>
        <v>1.6707922154684518</v>
      </c>
      <c r="G7" s="91">
        <f t="shared" si="3"/>
        <v>1.8712872813246662</v>
      </c>
      <c r="H7" s="90">
        <f t="shared" si="2"/>
        <v>5.5475024171657887</v>
      </c>
      <c r="I7" s="90">
        <f t="shared" si="4"/>
        <v>6.2132027072256841</v>
      </c>
      <c r="J7" s="118">
        <v>261877.43309999901</v>
      </c>
      <c r="K7" s="89">
        <v>5009694.6551999897</v>
      </c>
      <c r="L7" s="89">
        <v>45.200512629999899</v>
      </c>
      <c r="M7" s="89">
        <v>-96.031719629999898</v>
      </c>
      <c r="N7" s="66" t="s">
        <v>987</v>
      </c>
    </row>
    <row r="8" spans="1:20" x14ac:dyDescent="0.25">
      <c r="A8" s="66" t="s">
        <v>988</v>
      </c>
      <c r="B8" s="10" t="s">
        <v>2134</v>
      </c>
      <c r="C8" s="93">
        <v>0.80700000000000005</v>
      </c>
      <c r="D8" s="93" t="s">
        <v>2053</v>
      </c>
      <c r="E8" s="92">
        <f t="shared" si="0"/>
        <v>27.00057284</v>
      </c>
      <c r="F8" s="91">
        <f t="shared" si="1"/>
        <v>1.8997893787809317</v>
      </c>
      <c r="G8" s="91">
        <f t="shared" si="3"/>
        <v>2.1277641042346436</v>
      </c>
      <c r="H8" s="90">
        <f t="shared" si="2"/>
        <v>5.8658771733191291</v>
      </c>
      <c r="I8" s="90">
        <f t="shared" si="4"/>
        <v>6.5697824341174256</v>
      </c>
      <c r="J8" s="118">
        <v>415577.152899999</v>
      </c>
      <c r="K8" s="89">
        <v>4939031.6497</v>
      </c>
      <c r="L8" s="89">
        <v>44.599707449999897</v>
      </c>
      <c r="M8" s="89">
        <v>-94.063611859999895</v>
      </c>
      <c r="N8" s="66" t="s">
        <v>989</v>
      </c>
    </row>
    <row r="9" spans="1:20" x14ac:dyDescent="0.25">
      <c r="A9" s="66" t="s">
        <v>990</v>
      </c>
      <c r="B9" s="10" t="s">
        <v>2133</v>
      </c>
      <c r="C9" s="93">
        <v>0.1011</v>
      </c>
      <c r="D9" s="93" t="s">
        <v>2053</v>
      </c>
      <c r="E9" s="92">
        <f t="shared" si="0"/>
        <v>20.740566932</v>
      </c>
      <c r="F9" s="91">
        <f t="shared" si="1"/>
        <v>1.4593286224259461</v>
      </c>
      <c r="G9" s="91">
        <f t="shared" si="3"/>
        <v>1.6344480571170599</v>
      </c>
      <c r="H9" s="90">
        <f t="shared" si="2"/>
        <v>5.2535045837587937</v>
      </c>
      <c r="I9" s="90">
        <f t="shared" si="4"/>
        <v>5.8839251338098499</v>
      </c>
      <c r="J9" s="118">
        <v>281216.77500000002</v>
      </c>
      <c r="K9" s="89">
        <v>5105926.7839000002</v>
      </c>
      <c r="L9" s="89">
        <v>46.071917280000001</v>
      </c>
      <c r="M9" s="89">
        <v>-95.829030990000007</v>
      </c>
      <c r="N9" s="66" t="s">
        <v>991</v>
      </c>
    </row>
    <row r="10" spans="1:20" x14ac:dyDescent="0.25">
      <c r="A10" s="66" t="s">
        <v>996</v>
      </c>
      <c r="B10" s="10" t="s">
        <v>2132</v>
      </c>
      <c r="C10" s="93">
        <v>0.42199999999999999</v>
      </c>
      <c r="D10" s="93" t="s">
        <v>2053</v>
      </c>
      <c r="E10" s="92">
        <f t="shared" si="0"/>
        <v>23.586346640000002</v>
      </c>
      <c r="F10" s="91">
        <f t="shared" si="1"/>
        <v>1.6595607469681122</v>
      </c>
      <c r="G10" s="91">
        <f t="shared" si="3"/>
        <v>1.8587080366042859</v>
      </c>
      <c r="H10" s="90">
        <f t="shared" si="2"/>
        <v>5.5318873065097662</v>
      </c>
      <c r="I10" s="90">
        <f t="shared" si="4"/>
        <v>6.1957137832909384</v>
      </c>
      <c r="J10" s="118">
        <v>387616.64616424002</v>
      </c>
      <c r="K10" s="89">
        <v>5054145.8466555802</v>
      </c>
      <c r="L10" s="89">
        <v>45.631760530000001</v>
      </c>
      <c r="M10" s="89">
        <v>-94.441843719999895</v>
      </c>
      <c r="N10" s="66" t="s">
        <v>997</v>
      </c>
    </row>
    <row r="11" spans="1:20" x14ac:dyDescent="0.25">
      <c r="A11" s="66" t="s">
        <v>998</v>
      </c>
      <c r="B11" s="10" t="s">
        <v>2131</v>
      </c>
      <c r="C11" s="93">
        <v>0.53400000000000003</v>
      </c>
      <c r="D11" s="93" t="s">
        <v>2053</v>
      </c>
      <c r="E11" s="92">
        <f t="shared" si="0"/>
        <v>24.579576080000002</v>
      </c>
      <c r="F11" s="91">
        <f t="shared" si="1"/>
        <v>1.7294454398591144</v>
      </c>
      <c r="G11" s="91">
        <f t="shared" si="3"/>
        <v>1.9369788926422082</v>
      </c>
      <c r="H11" s="90">
        <f t="shared" si="2"/>
        <v>5.6290479950361272</v>
      </c>
      <c r="I11" s="90">
        <f t="shared" si="4"/>
        <v>6.3045337544404632</v>
      </c>
      <c r="J11" s="118">
        <v>237123.8884</v>
      </c>
      <c r="K11" s="89">
        <v>5172110.1454999903</v>
      </c>
      <c r="L11" s="89">
        <v>46.650969150000002</v>
      </c>
      <c r="M11" s="89">
        <v>-96.435385870000005</v>
      </c>
      <c r="N11" s="66" t="s">
        <v>999</v>
      </c>
    </row>
    <row r="12" spans="1:20" x14ac:dyDescent="0.25">
      <c r="A12" s="66" t="s">
        <v>1004</v>
      </c>
      <c r="B12" s="10" t="s">
        <v>2130</v>
      </c>
      <c r="C12" s="93">
        <v>0.89900000000000002</v>
      </c>
      <c r="D12" s="93" t="s">
        <v>2053</v>
      </c>
      <c r="E12" s="92">
        <f t="shared" si="0"/>
        <v>27.816439880000001</v>
      </c>
      <c r="F12" s="91">
        <f t="shared" si="1"/>
        <v>1.9571946622271121</v>
      </c>
      <c r="G12" s="91">
        <f t="shared" si="3"/>
        <v>2.1920580216943657</v>
      </c>
      <c r="H12" s="90">
        <f t="shared" si="2"/>
        <v>5.945687738894355</v>
      </c>
      <c r="I12" s="90">
        <f t="shared" si="4"/>
        <v>6.6591702675616782</v>
      </c>
      <c r="J12" s="118">
        <v>496413.60859999899</v>
      </c>
      <c r="K12" s="89">
        <v>4856527.6884000003</v>
      </c>
      <c r="L12" s="89">
        <v>43.86185854</v>
      </c>
      <c r="M12" s="89">
        <v>-93.044475210000002</v>
      </c>
      <c r="N12" s="66" t="s">
        <v>1005</v>
      </c>
    </row>
    <row r="13" spans="1:20" x14ac:dyDescent="0.25">
      <c r="A13" s="66" t="s">
        <v>1006</v>
      </c>
      <c r="B13" s="10" t="s">
        <v>2129</v>
      </c>
      <c r="C13" s="93">
        <v>0.98</v>
      </c>
      <c r="D13" s="93" t="s">
        <v>2053</v>
      </c>
      <c r="E13" s="92">
        <f t="shared" si="0"/>
        <v>28.534757599999999</v>
      </c>
      <c r="F13" s="91">
        <f t="shared" si="1"/>
        <v>2.0077362704786403</v>
      </c>
      <c r="G13" s="91">
        <f t="shared" si="3"/>
        <v>2.2486646229360776</v>
      </c>
      <c r="H13" s="90">
        <f t="shared" si="2"/>
        <v>6.015955736846454</v>
      </c>
      <c r="I13" s="90">
        <f t="shared" si="4"/>
        <v>6.7378704252680288</v>
      </c>
      <c r="J13" s="118">
        <v>409998.4792</v>
      </c>
      <c r="K13" s="89">
        <v>4832937.7995999902</v>
      </c>
      <c r="L13" s="89">
        <v>43.644019450000002</v>
      </c>
      <c r="M13" s="89">
        <v>-94.115767550000001</v>
      </c>
      <c r="N13" s="66" t="s">
        <v>1007</v>
      </c>
    </row>
    <row r="14" spans="1:20" x14ac:dyDescent="0.25">
      <c r="A14" s="66" t="s">
        <v>1008</v>
      </c>
      <c r="B14" s="10" t="s">
        <v>2128</v>
      </c>
      <c r="C14" s="93">
        <v>0.4</v>
      </c>
      <c r="D14" s="93" t="s">
        <v>2053</v>
      </c>
      <c r="E14" s="92">
        <f t="shared" si="0"/>
        <v>23.391248000000001</v>
      </c>
      <c r="F14" s="91">
        <f t="shared" si="1"/>
        <v>1.6458333965788081</v>
      </c>
      <c r="G14" s="91">
        <f t="shared" si="3"/>
        <v>1.8433334041682652</v>
      </c>
      <c r="H14" s="90">
        <f t="shared" si="2"/>
        <v>5.5128021712635178</v>
      </c>
      <c r="I14" s="90">
        <f t="shared" si="4"/>
        <v>6.1743384318151406</v>
      </c>
      <c r="J14" s="118">
        <v>486178.96340000001</v>
      </c>
      <c r="K14" s="89">
        <v>5063171.1160000004</v>
      </c>
      <c r="L14" s="89">
        <v>45.721985369999899</v>
      </c>
      <c r="M14" s="89">
        <v>-93.177450469999897</v>
      </c>
      <c r="N14" s="66" t="s">
        <v>1009</v>
      </c>
    </row>
    <row r="15" spans="1:20" x14ac:dyDescent="0.25">
      <c r="A15" s="66" t="s">
        <v>1010</v>
      </c>
      <c r="B15" s="10" t="s">
        <v>2127</v>
      </c>
      <c r="C15" s="93">
        <v>0.191</v>
      </c>
      <c r="D15" s="93" t="s">
        <v>2053</v>
      </c>
      <c r="E15" s="92">
        <f t="shared" si="0"/>
        <v>21.537810920000002</v>
      </c>
      <c r="F15" s="91">
        <f t="shared" si="1"/>
        <v>1.5154235678804202</v>
      </c>
      <c r="G15" s="91">
        <f t="shared" si="3"/>
        <v>1.6972743960260708</v>
      </c>
      <c r="H15" s="90">
        <f t="shared" si="2"/>
        <v>5.3314933864241478</v>
      </c>
      <c r="I15" s="90">
        <f t="shared" si="4"/>
        <v>5.9712725927950459</v>
      </c>
      <c r="J15" s="118">
        <v>302912.39870000002</v>
      </c>
      <c r="K15" s="89">
        <v>4840667.1233000001</v>
      </c>
      <c r="L15" s="89">
        <v>43.692890660000003</v>
      </c>
      <c r="M15" s="89">
        <v>-95.445475070000001</v>
      </c>
      <c r="N15" s="66" t="s">
        <v>1011</v>
      </c>
    </row>
    <row r="16" spans="1:20" x14ac:dyDescent="0.25">
      <c r="A16" s="66" t="s">
        <v>1014</v>
      </c>
      <c r="B16" s="10" t="s">
        <v>2126</v>
      </c>
      <c r="C16" s="93">
        <v>0.56999999999999995</v>
      </c>
      <c r="D16" s="93" t="s">
        <v>2053</v>
      </c>
      <c r="E16" s="92">
        <f t="shared" si="0"/>
        <v>24.898828399999999</v>
      </c>
      <c r="F16" s="91">
        <f t="shared" si="1"/>
        <v>1.7519083768597934</v>
      </c>
      <c r="G16" s="91">
        <f t="shared" si="3"/>
        <v>1.9621373820829688</v>
      </c>
      <c r="H16" s="90">
        <f t="shared" si="2"/>
        <v>5.6602782163481713</v>
      </c>
      <c r="I16" s="90">
        <f t="shared" si="4"/>
        <v>6.339511602309952</v>
      </c>
      <c r="J16" s="118">
        <v>622518.92949999904</v>
      </c>
      <c r="K16" s="89">
        <v>4830257.4842999903</v>
      </c>
      <c r="L16" s="89">
        <v>43.615248209999898</v>
      </c>
      <c r="M16" s="89">
        <v>-91.481472629999899</v>
      </c>
      <c r="N16" s="66" t="s">
        <v>1015</v>
      </c>
    </row>
    <row r="17" spans="1:14" x14ac:dyDescent="0.25">
      <c r="A17" s="66" t="s">
        <v>1016</v>
      </c>
      <c r="B17" s="10" t="s">
        <v>2125</v>
      </c>
      <c r="C17" s="93">
        <v>6.5000000000000002E-2</v>
      </c>
      <c r="D17" s="93" t="s">
        <v>2053</v>
      </c>
      <c r="E17" s="92">
        <f t="shared" si="0"/>
        <v>20.420427800000002</v>
      </c>
      <c r="F17" s="91">
        <f t="shared" si="1"/>
        <v>1.4368032883780431</v>
      </c>
      <c r="G17" s="91">
        <f t="shared" si="3"/>
        <v>1.6092196829834085</v>
      </c>
      <c r="H17" s="90">
        <f t="shared" si="2"/>
        <v>5.222187611831993</v>
      </c>
      <c r="I17" s="90">
        <f t="shared" si="4"/>
        <v>5.8488501252518326</v>
      </c>
      <c r="J17" s="118">
        <v>586111.34050000005</v>
      </c>
      <c r="K17" s="89">
        <v>4821035.6100000003</v>
      </c>
      <c r="L17" s="89">
        <v>43.537329569999898</v>
      </c>
      <c r="M17" s="89">
        <v>-91.9340429599999</v>
      </c>
      <c r="N17" s="66" t="s">
        <v>1017</v>
      </c>
    </row>
    <row r="18" spans="1:14" x14ac:dyDescent="0.25">
      <c r="A18" s="66" t="s">
        <v>1028</v>
      </c>
      <c r="B18" s="10" t="s">
        <v>2124</v>
      </c>
      <c r="C18" s="93">
        <v>0.47099999999999997</v>
      </c>
      <c r="D18" s="93" t="s">
        <v>2053</v>
      </c>
      <c r="E18" s="92">
        <f t="shared" si="0"/>
        <v>24.020884520000003</v>
      </c>
      <c r="F18" s="91">
        <f t="shared" si="1"/>
        <v>1.6901353001079256</v>
      </c>
      <c r="G18" s="91">
        <f t="shared" si="3"/>
        <v>1.8929515361208769</v>
      </c>
      <c r="H18" s="90">
        <f t="shared" si="2"/>
        <v>5.5743951077400489</v>
      </c>
      <c r="I18" s="90">
        <f t="shared" si="4"/>
        <v>6.2433225206688556</v>
      </c>
      <c r="J18" s="118">
        <v>259644.72450000001</v>
      </c>
      <c r="K18" s="89">
        <v>4979884.8164999904</v>
      </c>
      <c r="L18" s="89">
        <v>44.931793589999899</v>
      </c>
      <c r="M18" s="89">
        <v>-96.045829569999896</v>
      </c>
      <c r="N18" s="66" t="s">
        <v>1029</v>
      </c>
    </row>
    <row r="19" spans="1:14" x14ac:dyDescent="0.25">
      <c r="A19" s="66" t="s">
        <v>1030</v>
      </c>
      <c r="B19" s="10" t="s">
        <v>2123</v>
      </c>
      <c r="C19" s="93">
        <v>1.4E-2</v>
      </c>
      <c r="D19" s="93" t="s">
        <v>2053</v>
      </c>
      <c r="E19" s="92">
        <f t="shared" si="0"/>
        <v>19.96815368</v>
      </c>
      <c r="F19" s="91">
        <f t="shared" si="1"/>
        <v>1.4049807942937471</v>
      </c>
      <c r="G19" s="91">
        <f t="shared" si="3"/>
        <v>1.5735784896089968</v>
      </c>
      <c r="H19" s="90">
        <f t="shared" si="2"/>
        <v>5.1779447983065969</v>
      </c>
      <c r="I19" s="90">
        <f t="shared" si="4"/>
        <v>5.7992981741033889</v>
      </c>
      <c r="J19" s="118">
        <v>324744.11729999899</v>
      </c>
      <c r="K19" s="89">
        <v>4940524.7572999904</v>
      </c>
      <c r="L19" s="89">
        <v>44.596751529999899</v>
      </c>
      <c r="M19" s="89">
        <v>-95.208030359999896</v>
      </c>
      <c r="N19" s="66" t="s">
        <v>1031</v>
      </c>
    </row>
    <row r="20" spans="1:14" x14ac:dyDescent="0.25">
      <c r="A20" s="66" t="s">
        <v>1032</v>
      </c>
      <c r="B20" s="10" t="s">
        <v>2122</v>
      </c>
      <c r="C20" s="93">
        <v>2.02</v>
      </c>
      <c r="D20" s="93" t="s">
        <v>2053</v>
      </c>
      <c r="E20" s="92">
        <f t="shared" si="0"/>
        <v>37.757602399999996</v>
      </c>
      <c r="F20" s="91">
        <f t="shared" si="1"/>
        <v>2.6566655616093744</v>
      </c>
      <c r="G20" s="91">
        <f t="shared" si="3"/>
        <v>2.9754654290024996</v>
      </c>
      <c r="H20" s="90">
        <f t="shared" si="2"/>
        <v>6.9181621303055136</v>
      </c>
      <c r="I20" s="90">
        <f t="shared" si="4"/>
        <v>7.7483415859421756</v>
      </c>
      <c r="J20" s="118">
        <v>280746.49939999898</v>
      </c>
      <c r="K20" s="89">
        <v>5188206.8277000003</v>
      </c>
      <c r="L20" s="89">
        <v>46.8113373999999</v>
      </c>
      <c r="M20" s="89">
        <v>-95.873763100000005</v>
      </c>
      <c r="N20" s="66" t="s">
        <v>1033</v>
      </c>
    </row>
    <row r="21" spans="1:14" x14ac:dyDescent="0.25">
      <c r="A21" s="66" t="s">
        <v>1034</v>
      </c>
      <c r="B21" s="10" t="s">
        <v>2121</v>
      </c>
      <c r="C21" s="93">
        <v>0.97299999999999998</v>
      </c>
      <c r="D21" s="93" t="s">
        <v>2053</v>
      </c>
      <c r="E21" s="92">
        <f t="shared" si="0"/>
        <v>28.472680760000003</v>
      </c>
      <c r="F21" s="91">
        <f t="shared" si="1"/>
        <v>2.0033684771729527</v>
      </c>
      <c r="G21" s="91">
        <f t="shared" si="3"/>
        <v>2.2437726944337073</v>
      </c>
      <c r="H21" s="90">
        <f t="shared" si="2"/>
        <v>6.0098831938135566</v>
      </c>
      <c r="I21" s="90">
        <f t="shared" si="4"/>
        <v>6.7310691770711841</v>
      </c>
      <c r="J21" s="118">
        <v>511421.65470000001</v>
      </c>
      <c r="K21" s="89">
        <v>4876673.0623000003</v>
      </c>
      <c r="L21" s="89">
        <v>44.0431588</v>
      </c>
      <c r="M21" s="89">
        <v>-92.857282170000005</v>
      </c>
      <c r="N21" s="66" t="s">
        <v>1035</v>
      </c>
    </row>
    <row r="22" spans="1:14" x14ac:dyDescent="0.25">
      <c r="A22" s="66" t="s">
        <v>1038</v>
      </c>
      <c r="B22" s="10" t="s">
        <v>2120</v>
      </c>
      <c r="C22" s="93">
        <v>0.11899999999999999</v>
      </c>
      <c r="D22" s="93" t="s">
        <v>2053</v>
      </c>
      <c r="E22" s="92">
        <f t="shared" si="0"/>
        <v>20.899306280000001</v>
      </c>
      <c r="F22" s="91">
        <f t="shared" si="1"/>
        <v>1.4704976938790617</v>
      </c>
      <c r="G22" s="91">
        <f t="shared" si="3"/>
        <v>1.6469574171445494</v>
      </c>
      <c r="H22" s="90">
        <f t="shared" si="2"/>
        <v>5.2690329438000596</v>
      </c>
      <c r="I22" s="90">
        <f t="shared" si="4"/>
        <v>5.9013168970560672</v>
      </c>
      <c r="J22" s="118">
        <v>248520.016999999</v>
      </c>
      <c r="K22" s="89">
        <v>4861017.3306999896</v>
      </c>
      <c r="L22" s="89">
        <v>43.859426339999899</v>
      </c>
      <c r="M22" s="89">
        <v>-96.129074739999893</v>
      </c>
      <c r="N22" s="66" t="s">
        <v>1039</v>
      </c>
    </row>
    <row r="23" spans="1:14" x14ac:dyDescent="0.25">
      <c r="A23" s="66" t="s">
        <v>1040</v>
      </c>
      <c r="B23" s="10" t="s">
        <v>2119</v>
      </c>
      <c r="C23" s="93">
        <v>0.13400000000000001</v>
      </c>
      <c r="D23" s="93" t="s">
        <v>2053</v>
      </c>
      <c r="E23" s="92">
        <f t="shared" si="0"/>
        <v>21.032328080000003</v>
      </c>
      <c r="F23" s="91">
        <f t="shared" si="1"/>
        <v>1.4798572509626782</v>
      </c>
      <c r="G23" s="91">
        <f t="shared" si="3"/>
        <v>1.6574401210781997</v>
      </c>
      <c r="H23" s="90">
        <f t="shared" si="2"/>
        <v>5.2820455360134115</v>
      </c>
      <c r="I23" s="90">
        <f t="shared" si="4"/>
        <v>5.9158910003350211</v>
      </c>
      <c r="J23" s="118">
        <v>254608.0515</v>
      </c>
      <c r="K23" s="89">
        <v>4822772.0423999904</v>
      </c>
      <c r="L23" s="89">
        <v>43.5176012599999</v>
      </c>
      <c r="M23" s="89">
        <v>-96.036015059999897</v>
      </c>
      <c r="N23" s="66" t="s">
        <v>1041</v>
      </c>
    </row>
    <row r="24" spans="1:14" x14ac:dyDescent="0.25">
      <c r="A24" s="66" t="s">
        <v>1044</v>
      </c>
      <c r="B24" s="10" t="s">
        <v>2118</v>
      </c>
      <c r="C24" s="93">
        <v>0.124</v>
      </c>
      <c r="D24" s="93" t="s">
        <v>2053</v>
      </c>
      <c r="E24" s="92">
        <f t="shared" si="0"/>
        <v>20.943646880000003</v>
      </c>
      <c r="F24" s="91">
        <f t="shared" si="1"/>
        <v>1.4736175462402674</v>
      </c>
      <c r="G24" s="91">
        <f t="shared" si="3"/>
        <v>1.6504516517890997</v>
      </c>
      <c r="H24" s="90">
        <f t="shared" si="2"/>
        <v>5.2733704745378436</v>
      </c>
      <c r="I24" s="90">
        <f t="shared" si="4"/>
        <v>5.9061749314823855</v>
      </c>
      <c r="J24" s="118">
        <v>459982.5673</v>
      </c>
      <c r="K24" s="89">
        <v>4816437.4791999897</v>
      </c>
      <c r="L24" s="89">
        <v>43.499823210000002</v>
      </c>
      <c r="M24" s="89">
        <v>-93.494837790000005</v>
      </c>
      <c r="N24" s="66" t="s">
        <v>1045</v>
      </c>
    </row>
    <row r="25" spans="1:14" x14ac:dyDescent="0.25">
      <c r="A25" s="66" t="s">
        <v>1050</v>
      </c>
      <c r="B25" s="10" t="s">
        <v>2117</v>
      </c>
      <c r="C25" s="93">
        <v>3.9</v>
      </c>
      <c r="D25" s="93" t="s">
        <v>2053</v>
      </c>
      <c r="E25" s="92">
        <f t="shared" si="0"/>
        <v>54.429667999999999</v>
      </c>
      <c r="F25" s="91">
        <f t="shared" si="1"/>
        <v>3.8297300494226243</v>
      </c>
      <c r="G25" s="91">
        <f t="shared" si="3"/>
        <v>4.28929765535334</v>
      </c>
      <c r="H25" s="90">
        <f t="shared" si="2"/>
        <v>8.5490736877122746</v>
      </c>
      <c r="I25" s="90">
        <f t="shared" si="4"/>
        <v>9.5749625302377481</v>
      </c>
      <c r="J25" s="118">
        <v>382360.239899999</v>
      </c>
      <c r="K25" s="89">
        <v>4836439.9439000003</v>
      </c>
      <c r="L25" s="89">
        <v>43.671684470000002</v>
      </c>
      <c r="M25" s="89">
        <v>-94.459118570000001</v>
      </c>
      <c r="N25" s="66" t="s">
        <v>1051</v>
      </c>
    </row>
    <row r="26" spans="1:14" x14ac:dyDescent="0.25">
      <c r="A26" s="66" t="s">
        <v>1056</v>
      </c>
      <c r="B26" s="10" t="s">
        <v>2116</v>
      </c>
      <c r="C26" s="93">
        <v>0.49399999999999999</v>
      </c>
      <c r="D26" s="93" t="s">
        <v>2053</v>
      </c>
      <c r="E26" s="92">
        <f t="shared" si="0"/>
        <v>24.224851280000003</v>
      </c>
      <c r="F26" s="91">
        <f t="shared" si="1"/>
        <v>1.7044866209694707</v>
      </c>
      <c r="G26" s="91">
        <f t="shared" si="3"/>
        <v>1.9090250154858073</v>
      </c>
      <c r="H26" s="90">
        <f t="shared" si="2"/>
        <v>5.5943477491338554</v>
      </c>
      <c r="I26" s="90">
        <f t="shared" si="4"/>
        <v>6.2656694790299188</v>
      </c>
      <c r="J26" s="118">
        <v>293403.67090000003</v>
      </c>
      <c r="K26" s="89">
        <v>5275195.5782000003</v>
      </c>
      <c r="L26" s="89">
        <v>47.597255480000001</v>
      </c>
      <c r="M26" s="89">
        <v>-95.748172170000004</v>
      </c>
      <c r="N26" s="66" t="s">
        <v>1057</v>
      </c>
    </row>
    <row r="27" spans="1:14" x14ac:dyDescent="0.25">
      <c r="A27" s="66" t="s">
        <v>1062</v>
      </c>
      <c r="B27" s="10" t="s">
        <v>2115</v>
      </c>
      <c r="C27" s="93">
        <v>0.09</v>
      </c>
      <c r="D27" s="93" t="s">
        <v>2053</v>
      </c>
      <c r="E27" s="92">
        <f t="shared" si="0"/>
        <v>20.6421308</v>
      </c>
      <c r="F27" s="91">
        <f t="shared" si="1"/>
        <v>1.4524025501840701</v>
      </c>
      <c r="G27" s="91">
        <f t="shared" si="3"/>
        <v>1.6266908562061586</v>
      </c>
      <c r="H27" s="90">
        <f t="shared" si="2"/>
        <v>5.2438752655209129</v>
      </c>
      <c r="I27" s="90">
        <f t="shared" si="4"/>
        <v>5.873140297383423</v>
      </c>
      <c r="J27" s="118">
        <v>312036.38250000001</v>
      </c>
      <c r="K27" s="89">
        <v>5290588.3246999905</v>
      </c>
      <c r="L27" s="89">
        <v>47.741291449999899</v>
      </c>
      <c r="M27" s="89">
        <v>-95.507182130000004</v>
      </c>
      <c r="N27" s="66" t="s">
        <v>1063</v>
      </c>
    </row>
    <row r="28" spans="1:14" x14ac:dyDescent="0.25">
      <c r="A28" s="66" t="s">
        <v>1064</v>
      </c>
      <c r="B28" s="10" t="s">
        <v>2114</v>
      </c>
      <c r="C28" s="93">
        <v>9.9000000000000005E-2</v>
      </c>
      <c r="D28" s="93" t="s">
        <v>2053</v>
      </c>
      <c r="E28" s="92">
        <f t="shared" si="0"/>
        <v>20.721943880000001</v>
      </c>
      <c r="F28" s="91">
        <f t="shared" si="1"/>
        <v>1.45801828443424</v>
      </c>
      <c r="G28" s="91">
        <f t="shared" si="3"/>
        <v>1.6329804785663489</v>
      </c>
      <c r="H28" s="90">
        <f t="shared" si="2"/>
        <v>5.2516828208489237</v>
      </c>
      <c r="I28" s="90">
        <f t="shared" si="4"/>
        <v>5.881884759350795</v>
      </c>
      <c r="J28" s="118">
        <v>530390.12970000005</v>
      </c>
      <c r="K28" s="89">
        <v>4915376.8694000002</v>
      </c>
      <c r="L28" s="89">
        <v>44.391067049999897</v>
      </c>
      <c r="M28" s="89">
        <v>-92.618279529999896</v>
      </c>
      <c r="N28" s="66" t="s">
        <v>1065</v>
      </c>
    </row>
    <row r="29" spans="1:14" x14ac:dyDescent="0.25">
      <c r="A29" s="66" t="s">
        <v>1068</v>
      </c>
      <c r="B29" s="10" t="s">
        <v>2113</v>
      </c>
      <c r="C29" s="93">
        <v>0.224</v>
      </c>
      <c r="D29" s="93" t="s">
        <v>2053</v>
      </c>
      <c r="E29" s="92">
        <f t="shared" si="0"/>
        <v>21.830458880000002</v>
      </c>
      <c r="F29" s="91">
        <f t="shared" si="1"/>
        <v>1.5360145934643761</v>
      </c>
      <c r="G29" s="91">
        <f t="shared" si="3"/>
        <v>1.7203363446801014</v>
      </c>
      <c r="H29" s="90">
        <f t="shared" si="2"/>
        <v>5.3601210892935223</v>
      </c>
      <c r="I29" s="90">
        <f t="shared" si="4"/>
        <v>6.0033356200087455</v>
      </c>
      <c r="J29" s="118">
        <v>367868.90480000002</v>
      </c>
      <c r="K29" s="89">
        <v>5001946.3161000004</v>
      </c>
      <c r="L29" s="89">
        <v>45.158651560000003</v>
      </c>
      <c r="M29" s="89">
        <v>-94.680957190000001</v>
      </c>
      <c r="N29" s="66" t="s">
        <v>1069</v>
      </c>
    </row>
    <row r="30" spans="1:14" x14ac:dyDescent="0.25">
      <c r="A30" s="66" t="s">
        <v>1070</v>
      </c>
      <c r="B30" s="10" t="s">
        <v>2112</v>
      </c>
      <c r="C30" s="93">
        <v>0.19400000000000001</v>
      </c>
      <c r="D30" s="93" t="s">
        <v>2053</v>
      </c>
      <c r="E30" s="92">
        <f t="shared" si="0"/>
        <v>21.564415280000002</v>
      </c>
      <c r="F30" s="91">
        <f t="shared" si="1"/>
        <v>1.5172954792971436</v>
      </c>
      <c r="G30" s="91">
        <f t="shared" si="3"/>
        <v>1.6993709368128009</v>
      </c>
      <c r="H30" s="90">
        <f t="shared" si="2"/>
        <v>5.3340959048668193</v>
      </c>
      <c r="I30" s="90">
        <f t="shared" si="4"/>
        <v>5.9741874134508386</v>
      </c>
      <c r="J30" s="118">
        <v>581850.57810000004</v>
      </c>
      <c r="K30" s="89">
        <v>4820646.9121000003</v>
      </c>
      <c r="L30" s="89">
        <v>43.5343095899999</v>
      </c>
      <c r="M30" s="89">
        <v>-91.986828829999894</v>
      </c>
      <c r="N30" s="66" t="s">
        <v>1071</v>
      </c>
    </row>
    <row r="31" spans="1:14" x14ac:dyDescent="0.25">
      <c r="A31" s="66" t="s">
        <v>1074</v>
      </c>
      <c r="B31" s="10" t="s">
        <v>2111</v>
      </c>
      <c r="C31" s="93">
        <v>0.59499999999999997</v>
      </c>
      <c r="D31" s="93" t="s">
        <v>2053</v>
      </c>
      <c r="E31" s="92">
        <f t="shared" si="0"/>
        <v>25.120531400000001</v>
      </c>
      <c r="F31" s="91">
        <f t="shared" si="1"/>
        <v>1.7675076386658206</v>
      </c>
      <c r="G31" s="91">
        <f t="shared" si="3"/>
        <v>1.9796085553057192</v>
      </c>
      <c r="H31" s="90">
        <f t="shared" si="2"/>
        <v>5.6819658700370912</v>
      </c>
      <c r="I31" s="90">
        <f t="shared" si="4"/>
        <v>6.3638017744415425</v>
      </c>
      <c r="J31" s="118">
        <v>511287.40950000001</v>
      </c>
      <c r="K31" s="89">
        <v>4863242.7187999897</v>
      </c>
      <c r="L31" s="89">
        <v>43.922240709999897</v>
      </c>
      <c r="M31" s="89">
        <v>-92.859243469999896</v>
      </c>
      <c r="N31" s="66" t="s">
        <v>1075</v>
      </c>
    </row>
    <row r="32" spans="1:14" x14ac:dyDescent="0.25">
      <c r="A32" s="66" t="s">
        <v>1076</v>
      </c>
      <c r="B32" s="10" t="s">
        <v>2110</v>
      </c>
      <c r="C32" s="93">
        <v>0.65800000000000003</v>
      </c>
      <c r="D32" s="93" t="s">
        <v>2053</v>
      </c>
      <c r="E32" s="92">
        <f t="shared" si="0"/>
        <v>25.679222960000001</v>
      </c>
      <c r="F32" s="91">
        <f t="shared" si="1"/>
        <v>1.8068177784170094</v>
      </c>
      <c r="G32" s="91">
        <f t="shared" si="3"/>
        <v>2.0236359118270508</v>
      </c>
      <c r="H32" s="90">
        <f t="shared" si="2"/>
        <v>5.7366187573331686</v>
      </c>
      <c r="I32" s="90">
        <f t="shared" si="4"/>
        <v>6.4250130082131491</v>
      </c>
      <c r="J32" s="118">
        <v>365840.94270000001</v>
      </c>
      <c r="K32" s="89">
        <v>4956016.8311000001</v>
      </c>
      <c r="L32" s="89">
        <v>44.7449941799999</v>
      </c>
      <c r="M32" s="89">
        <v>-94.694538050000006</v>
      </c>
      <c r="N32" s="66" t="s">
        <v>1077</v>
      </c>
    </row>
    <row r="33" spans="1:14" x14ac:dyDescent="0.25">
      <c r="A33" s="66" t="s">
        <v>1082</v>
      </c>
      <c r="B33" s="10" t="s">
        <v>2109</v>
      </c>
      <c r="C33" s="93">
        <v>0.24399999999999999</v>
      </c>
      <c r="D33" s="93" t="s">
        <v>2053</v>
      </c>
      <c r="E33" s="92">
        <f t="shared" si="0"/>
        <v>22.007821280000002</v>
      </c>
      <c r="F33" s="91">
        <f t="shared" si="1"/>
        <v>1.548494002909198</v>
      </c>
      <c r="G33" s="91">
        <f t="shared" si="3"/>
        <v>1.7343132832583019</v>
      </c>
      <c r="H33" s="90">
        <f t="shared" si="2"/>
        <v>5.3774712122446582</v>
      </c>
      <c r="I33" s="90">
        <f t="shared" si="4"/>
        <v>6.0227677577140177</v>
      </c>
      <c r="J33" s="118">
        <v>385379.2267</v>
      </c>
      <c r="K33" s="89">
        <v>5065756.7301000003</v>
      </c>
      <c r="L33" s="89">
        <v>45.73589612</v>
      </c>
      <c r="M33" s="89">
        <v>-94.473126089999894</v>
      </c>
      <c r="N33" s="66" t="s">
        <v>1083</v>
      </c>
    </row>
    <row r="34" spans="1:14" x14ac:dyDescent="0.25">
      <c r="A34" s="66" t="s">
        <v>1086</v>
      </c>
      <c r="B34" s="10" t="s">
        <v>2108</v>
      </c>
      <c r="C34" s="93">
        <v>5.43</v>
      </c>
      <c r="D34" s="93" t="s">
        <v>2053</v>
      </c>
      <c r="E34" s="92">
        <f t="shared" ref="E34:E65" si="5">C34*8.86812+19.844</f>
        <v>67.997891600000003</v>
      </c>
      <c r="F34" s="91">
        <f t="shared" ref="F34:F65" si="6">-PMT(0.035,20,(C34*8.86812+19.844))</f>
        <v>4.7844048719514927</v>
      </c>
      <c r="G34" s="91">
        <f t="shared" si="3"/>
        <v>5.3585334565856719</v>
      </c>
      <c r="H34" s="90">
        <f t="shared" ref="H34:H65" si="7">1.3903*F34 + 3.2246</f>
        <v>9.8763580934741615</v>
      </c>
      <c r="I34" s="90">
        <f t="shared" si="4"/>
        <v>11.061521064691062</v>
      </c>
      <c r="J34" s="118">
        <v>392920.7868</v>
      </c>
      <c r="K34" s="89">
        <v>4969553.3705000002</v>
      </c>
      <c r="L34" s="89">
        <v>44.87138246</v>
      </c>
      <c r="M34" s="89">
        <v>-94.3554248599999</v>
      </c>
      <c r="N34" s="66" t="s">
        <v>1087</v>
      </c>
    </row>
    <row r="35" spans="1:14" x14ac:dyDescent="0.25">
      <c r="A35" s="66" t="s">
        <v>1088</v>
      </c>
      <c r="B35" s="10" t="s">
        <v>2107</v>
      </c>
      <c r="C35" s="93">
        <v>1.2889999999999999</v>
      </c>
      <c r="D35" s="93" t="s">
        <v>2053</v>
      </c>
      <c r="E35" s="92">
        <f t="shared" si="5"/>
        <v>31.275006679999997</v>
      </c>
      <c r="F35" s="91">
        <f t="shared" si="6"/>
        <v>2.2005431464011371</v>
      </c>
      <c r="G35" s="91">
        <f t="shared" si="3"/>
        <v>2.4646083239692738</v>
      </c>
      <c r="H35" s="90">
        <f t="shared" si="7"/>
        <v>6.2840151364415018</v>
      </c>
      <c r="I35" s="90">
        <f t="shared" si="4"/>
        <v>7.0380969528144828</v>
      </c>
      <c r="J35" s="118">
        <v>450128.5477</v>
      </c>
      <c r="K35" s="89">
        <v>4947463.2243999904</v>
      </c>
      <c r="L35" s="89">
        <v>44.678833269999899</v>
      </c>
      <c r="M35" s="89">
        <v>-93.629103819999898</v>
      </c>
      <c r="N35" s="66" t="s">
        <v>1089</v>
      </c>
    </row>
    <row r="36" spans="1:14" x14ac:dyDescent="0.25">
      <c r="A36" s="66" t="s">
        <v>1092</v>
      </c>
      <c r="B36" s="10" t="s">
        <v>2106</v>
      </c>
      <c r="C36" s="93">
        <v>0.15</v>
      </c>
      <c r="D36" s="93" t="s">
        <v>2053</v>
      </c>
      <c r="E36" s="92">
        <f t="shared" si="5"/>
        <v>21.174218</v>
      </c>
      <c r="F36" s="91">
        <f t="shared" si="6"/>
        <v>1.4898407785185352</v>
      </c>
      <c r="G36" s="91">
        <f t="shared" si="3"/>
        <v>1.6686216719407596</v>
      </c>
      <c r="H36" s="90">
        <f t="shared" si="7"/>
        <v>5.2959256343743197</v>
      </c>
      <c r="I36" s="90">
        <f t="shared" si="4"/>
        <v>5.9314367104992387</v>
      </c>
      <c r="J36" s="118">
        <v>318879.11670000001</v>
      </c>
      <c r="K36" s="89">
        <v>5006916.7665999904</v>
      </c>
      <c r="L36" s="89">
        <v>45.192486449999898</v>
      </c>
      <c r="M36" s="89">
        <v>-95.305623909999895</v>
      </c>
      <c r="N36" s="66" t="s">
        <v>1093</v>
      </c>
    </row>
    <row r="37" spans="1:14" x14ac:dyDescent="0.25">
      <c r="A37" s="66" t="s">
        <v>1094</v>
      </c>
      <c r="B37" s="10" t="s">
        <v>2105</v>
      </c>
      <c r="C37" s="93">
        <v>9.5000000000000001E-2</v>
      </c>
      <c r="D37" s="93" t="s">
        <v>2053</v>
      </c>
      <c r="E37" s="92">
        <f t="shared" si="5"/>
        <v>20.686471400000002</v>
      </c>
      <c r="F37" s="91">
        <f t="shared" si="6"/>
        <v>1.4555224025452758</v>
      </c>
      <c r="G37" s="91">
        <f t="shared" si="3"/>
        <v>1.630185090850709</v>
      </c>
      <c r="H37" s="90">
        <f t="shared" si="7"/>
        <v>5.2482127962586969</v>
      </c>
      <c r="I37" s="90">
        <f t="shared" si="4"/>
        <v>5.8779983318097413</v>
      </c>
      <c r="J37" s="118">
        <v>390078.548699999</v>
      </c>
      <c r="K37" s="89">
        <v>4921878.2884999895</v>
      </c>
      <c r="L37" s="89">
        <v>44.441882280000002</v>
      </c>
      <c r="M37" s="89">
        <v>-94.3811700199999</v>
      </c>
      <c r="N37" s="66" t="s">
        <v>1095</v>
      </c>
    </row>
    <row r="38" spans="1:14" x14ac:dyDescent="0.25">
      <c r="A38" s="66" t="s">
        <v>1096</v>
      </c>
      <c r="B38" s="10" t="s">
        <v>2104</v>
      </c>
      <c r="C38" s="93">
        <v>0.58199999999999996</v>
      </c>
      <c r="D38" s="93" t="s">
        <v>2053</v>
      </c>
      <c r="E38" s="92">
        <f t="shared" si="5"/>
        <v>25.005245840000001</v>
      </c>
      <c r="F38" s="91">
        <f t="shared" si="6"/>
        <v>1.7593960225266865</v>
      </c>
      <c r="G38" s="91">
        <f t="shared" si="3"/>
        <v>1.970523545229889</v>
      </c>
      <c r="H38" s="90">
        <f t="shared" si="7"/>
        <v>5.6706882901188527</v>
      </c>
      <c r="I38" s="90">
        <f t="shared" si="4"/>
        <v>6.3511708849331159</v>
      </c>
      <c r="J38" s="118">
        <v>324786.86190000002</v>
      </c>
      <c r="K38" s="89">
        <v>4839249.6562999897</v>
      </c>
      <c r="L38" s="89">
        <v>43.685621249999897</v>
      </c>
      <c r="M38" s="89">
        <v>-95.173782110000005</v>
      </c>
      <c r="N38" s="66" t="s">
        <v>1097</v>
      </c>
    </row>
    <row r="39" spans="1:14" x14ac:dyDescent="0.25">
      <c r="A39" s="66" t="s">
        <v>1100</v>
      </c>
      <c r="B39" s="10" t="s">
        <v>2103</v>
      </c>
      <c r="C39" s="93">
        <v>0.36399999999999999</v>
      </c>
      <c r="D39" s="93" t="s">
        <v>2053</v>
      </c>
      <c r="E39" s="92">
        <f t="shared" si="5"/>
        <v>23.071995680000001</v>
      </c>
      <c r="F39" s="91">
        <f t="shared" si="6"/>
        <v>1.6233704595781289</v>
      </c>
      <c r="G39" s="91">
        <f t="shared" si="3"/>
        <v>1.8181749147275046</v>
      </c>
      <c r="H39" s="90">
        <f t="shared" si="7"/>
        <v>5.4815719499514728</v>
      </c>
      <c r="I39" s="90">
        <f t="shared" si="4"/>
        <v>6.13936058394565</v>
      </c>
      <c r="J39" s="118">
        <v>418302.939799999</v>
      </c>
      <c r="K39" s="89">
        <v>4970014.7970000003</v>
      </c>
      <c r="L39" s="89">
        <v>44.878897530000003</v>
      </c>
      <c r="M39" s="89">
        <v>-94.034232130000007</v>
      </c>
      <c r="N39" s="66" t="s">
        <v>1101</v>
      </c>
    </row>
    <row r="40" spans="1:14" x14ac:dyDescent="0.25">
      <c r="A40" s="66" t="s">
        <v>1102</v>
      </c>
      <c r="B40" s="10" t="s">
        <v>2102</v>
      </c>
      <c r="C40" s="93">
        <v>0.35</v>
      </c>
      <c r="D40" s="93" t="s">
        <v>2053</v>
      </c>
      <c r="E40" s="92">
        <f t="shared" si="5"/>
        <v>22.947842000000001</v>
      </c>
      <c r="F40" s="91">
        <f t="shared" si="6"/>
        <v>1.6146348729667535</v>
      </c>
      <c r="G40" s="91">
        <f t="shared" si="3"/>
        <v>1.808391057722764</v>
      </c>
      <c r="H40" s="90">
        <f t="shared" si="7"/>
        <v>5.469426863885678</v>
      </c>
      <c r="I40" s="90">
        <f t="shared" si="4"/>
        <v>6.1257580875519597</v>
      </c>
      <c r="J40" s="118">
        <v>589122.17649999901</v>
      </c>
      <c r="K40" s="89">
        <v>4868765.9962999905</v>
      </c>
      <c r="L40" s="89">
        <v>43.966655320000001</v>
      </c>
      <c r="M40" s="89">
        <v>-91.888863389999898</v>
      </c>
      <c r="N40" s="66" t="s">
        <v>1103</v>
      </c>
    </row>
    <row r="41" spans="1:14" x14ac:dyDescent="0.25">
      <c r="A41" s="66" t="s">
        <v>1104</v>
      </c>
      <c r="B41" s="10" t="s">
        <v>2101</v>
      </c>
      <c r="C41" s="93">
        <v>3.1</v>
      </c>
      <c r="D41" s="93" t="s">
        <v>2053</v>
      </c>
      <c r="E41" s="92">
        <f t="shared" si="5"/>
        <v>47.335172</v>
      </c>
      <c r="F41" s="91">
        <f t="shared" si="6"/>
        <v>3.3305536716297519</v>
      </c>
      <c r="G41" s="91">
        <f t="shared" si="3"/>
        <v>3.7302201122253225</v>
      </c>
      <c r="H41" s="90">
        <f t="shared" si="7"/>
        <v>7.8550687696668451</v>
      </c>
      <c r="I41" s="90">
        <f t="shared" si="4"/>
        <v>8.7976770220268676</v>
      </c>
      <c r="J41" s="118">
        <v>380515.8688</v>
      </c>
      <c r="K41" s="89">
        <v>4999925.2653000001</v>
      </c>
      <c r="L41" s="89">
        <v>45.142720019999899</v>
      </c>
      <c r="M41" s="89">
        <v>-94.51962546</v>
      </c>
      <c r="N41" s="66" t="s">
        <v>1105</v>
      </c>
    </row>
    <row r="42" spans="1:14" x14ac:dyDescent="0.25">
      <c r="A42" s="66" t="s">
        <v>1108</v>
      </c>
      <c r="B42" s="10" t="s">
        <v>2100</v>
      </c>
      <c r="C42" s="93">
        <v>1.82</v>
      </c>
      <c r="D42" s="93" t="s">
        <v>2053</v>
      </c>
      <c r="E42" s="92">
        <f t="shared" si="5"/>
        <v>35.983978399999998</v>
      </c>
      <c r="F42" s="91">
        <f t="shared" si="6"/>
        <v>2.5318714671611562</v>
      </c>
      <c r="G42" s="91">
        <f t="shared" si="3"/>
        <v>2.8356960432204952</v>
      </c>
      <c r="H42" s="90">
        <f t="shared" si="7"/>
        <v>6.7446609007941554</v>
      </c>
      <c r="I42" s="90">
        <f t="shared" si="4"/>
        <v>7.5540202088894546</v>
      </c>
      <c r="J42" s="118">
        <v>356028.47720000002</v>
      </c>
      <c r="K42" s="89">
        <v>5095136.3864000002</v>
      </c>
      <c r="L42" s="89">
        <v>45.994704429999899</v>
      </c>
      <c r="M42" s="89">
        <v>-94.85899963</v>
      </c>
      <c r="N42" s="66" t="s">
        <v>1109</v>
      </c>
    </row>
    <row r="43" spans="1:14" x14ac:dyDescent="0.25">
      <c r="A43" s="66" t="s">
        <v>1110</v>
      </c>
      <c r="B43" s="10" t="s">
        <v>2099</v>
      </c>
      <c r="C43" s="93">
        <v>0.68700000000000006</v>
      </c>
      <c r="D43" s="93" t="s">
        <v>2053</v>
      </c>
      <c r="E43" s="92">
        <f t="shared" si="5"/>
        <v>25.936398440000001</v>
      </c>
      <c r="F43" s="91">
        <f t="shared" si="6"/>
        <v>1.8249129221120011</v>
      </c>
      <c r="G43" s="91">
        <f t="shared" si="3"/>
        <v>2.0439024727654416</v>
      </c>
      <c r="H43" s="90">
        <f t="shared" si="7"/>
        <v>5.7617764356123153</v>
      </c>
      <c r="I43" s="90">
        <f t="shared" si="4"/>
        <v>6.4531896078857942</v>
      </c>
      <c r="J43" s="118">
        <v>466535.12809999898</v>
      </c>
      <c r="K43" s="89">
        <v>4924373.7041999903</v>
      </c>
      <c r="L43" s="89">
        <v>44.471926289999899</v>
      </c>
      <c r="M43" s="89">
        <v>-93.42059768</v>
      </c>
      <c r="N43" s="66" t="s">
        <v>1111</v>
      </c>
    </row>
    <row r="44" spans="1:14" x14ac:dyDescent="0.25">
      <c r="A44" s="66" t="s">
        <v>1114</v>
      </c>
      <c r="B44" s="10" t="s">
        <v>2098</v>
      </c>
      <c r="C44" s="93">
        <v>1.5</v>
      </c>
      <c r="D44" s="93" t="s">
        <v>2053</v>
      </c>
      <c r="E44" s="92">
        <f t="shared" si="5"/>
        <v>33.146180000000001</v>
      </c>
      <c r="F44" s="91">
        <f t="shared" si="6"/>
        <v>2.3322009160440071</v>
      </c>
      <c r="G44" s="91">
        <f t="shared" si="3"/>
        <v>2.6120650259692884</v>
      </c>
      <c r="H44" s="90">
        <f t="shared" si="7"/>
        <v>6.4670589335759834</v>
      </c>
      <c r="I44" s="90">
        <f t="shared" si="4"/>
        <v>7.2431060056051022</v>
      </c>
      <c r="J44" s="118">
        <v>241966.7659</v>
      </c>
      <c r="K44" s="89">
        <v>4837856.0257999897</v>
      </c>
      <c r="L44" s="89">
        <v>43.648950460000002</v>
      </c>
      <c r="M44" s="89">
        <v>-96.199369860000004</v>
      </c>
      <c r="N44" s="66" t="s">
        <v>1115</v>
      </c>
    </row>
    <row r="45" spans="1:14" x14ac:dyDescent="0.25">
      <c r="A45" s="66" t="s">
        <v>1118</v>
      </c>
      <c r="B45" s="10" t="s">
        <v>2097</v>
      </c>
      <c r="C45" s="93">
        <v>1.3140000000000001</v>
      </c>
      <c r="D45" s="93" t="s">
        <v>2053</v>
      </c>
      <c r="E45" s="92">
        <f t="shared" si="5"/>
        <v>31.496709680000002</v>
      </c>
      <c r="F45" s="91">
        <f t="shared" si="6"/>
        <v>2.2161424082071646</v>
      </c>
      <c r="G45" s="91">
        <f t="shared" si="3"/>
        <v>2.4820794971920246</v>
      </c>
      <c r="H45" s="90">
        <f t="shared" si="7"/>
        <v>6.3057027901304217</v>
      </c>
      <c r="I45" s="90">
        <f t="shared" si="4"/>
        <v>7.0623871249460732</v>
      </c>
      <c r="J45" s="118">
        <v>387462.913</v>
      </c>
      <c r="K45" s="89">
        <v>4877778.0828</v>
      </c>
      <c r="L45" s="89">
        <v>44.044560949999898</v>
      </c>
      <c r="M45" s="89">
        <v>-94.404550950000001</v>
      </c>
      <c r="N45" s="66" t="s">
        <v>1119</v>
      </c>
    </row>
    <row r="46" spans="1:14" x14ac:dyDescent="0.25">
      <c r="A46" s="66" t="s">
        <v>1120</v>
      </c>
      <c r="B46" s="10" t="s">
        <v>2096</v>
      </c>
      <c r="C46" s="93">
        <v>0.48</v>
      </c>
      <c r="D46" s="93" t="s">
        <v>2053</v>
      </c>
      <c r="E46" s="92">
        <f t="shared" si="5"/>
        <v>24.1006976</v>
      </c>
      <c r="F46" s="91">
        <f t="shared" si="6"/>
        <v>1.6957510343580953</v>
      </c>
      <c r="G46" s="91">
        <f t="shared" si="3"/>
        <v>1.8992411584810669</v>
      </c>
      <c r="H46" s="90">
        <f t="shared" si="7"/>
        <v>5.5822026630680597</v>
      </c>
      <c r="I46" s="90">
        <f t="shared" si="4"/>
        <v>6.2520669826362276</v>
      </c>
      <c r="J46" s="118">
        <v>250504.70800000001</v>
      </c>
      <c r="K46" s="89">
        <v>4987969.3704000004</v>
      </c>
      <c r="L46" s="89">
        <v>45.00131313</v>
      </c>
      <c r="M46" s="89">
        <v>-96.165484370000001</v>
      </c>
      <c r="N46" s="66" t="s">
        <v>1121</v>
      </c>
    </row>
    <row r="47" spans="1:14" x14ac:dyDescent="0.25">
      <c r="A47" s="66" t="s">
        <v>1122</v>
      </c>
      <c r="B47" s="10" t="s">
        <v>2095</v>
      </c>
      <c r="C47" s="93">
        <v>4.5</v>
      </c>
      <c r="D47" s="93" t="s">
        <v>2053</v>
      </c>
      <c r="E47" s="92">
        <f t="shared" si="5"/>
        <v>59.750540000000001</v>
      </c>
      <c r="F47" s="91">
        <f t="shared" si="6"/>
        <v>4.204112332767278</v>
      </c>
      <c r="G47" s="91">
        <f t="shared" si="3"/>
        <v>4.7086058126993517</v>
      </c>
      <c r="H47" s="90">
        <f t="shared" si="7"/>
        <v>9.0695773762463467</v>
      </c>
      <c r="I47" s="90">
        <f t="shared" si="4"/>
        <v>10.157926661395908</v>
      </c>
      <c r="J47" s="118">
        <v>279220.72230000002</v>
      </c>
      <c r="K47" s="89">
        <v>4928871.6382999904</v>
      </c>
      <c r="L47" s="89">
        <v>44.479442710000001</v>
      </c>
      <c r="M47" s="89">
        <v>-95.7760246</v>
      </c>
      <c r="N47" s="66" t="s">
        <v>1123</v>
      </c>
    </row>
    <row r="48" spans="1:14" x14ac:dyDescent="0.25">
      <c r="A48" s="66" t="s">
        <v>1124</v>
      </c>
      <c r="B48" s="10" t="s">
        <v>2094</v>
      </c>
      <c r="C48" s="93">
        <v>0.435</v>
      </c>
      <c r="D48" s="93" t="s">
        <v>2053</v>
      </c>
      <c r="E48" s="92">
        <f t="shared" si="5"/>
        <v>23.701632200000002</v>
      </c>
      <c r="F48" s="91">
        <f t="shared" si="6"/>
        <v>1.6676723631072463</v>
      </c>
      <c r="G48" s="91">
        <f t="shared" si="3"/>
        <v>1.867793046680116</v>
      </c>
      <c r="H48" s="90">
        <f t="shared" si="7"/>
        <v>5.5431648864280048</v>
      </c>
      <c r="I48" s="90">
        <f t="shared" si="4"/>
        <v>6.2083446727993659</v>
      </c>
      <c r="J48" s="118">
        <v>427613.23430000001</v>
      </c>
      <c r="K48" s="89">
        <v>4970657.8568000002</v>
      </c>
      <c r="L48" s="89">
        <v>44.885692480000003</v>
      </c>
      <c r="M48" s="89">
        <v>-93.916460220000005</v>
      </c>
      <c r="N48" s="66" t="s">
        <v>1125</v>
      </c>
    </row>
    <row r="49" spans="1:14" x14ac:dyDescent="0.25">
      <c r="A49" s="66" t="s">
        <v>1126</v>
      </c>
      <c r="B49" s="10" t="s">
        <v>2093</v>
      </c>
      <c r="C49" s="93">
        <v>0.153</v>
      </c>
      <c r="D49" s="93" t="s">
        <v>2053</v>
      </c>
      <c r="E49" s="92">
        <f t="shared" si="5"/>
        <v>21.20082236</v>
      </c>
      <c r="F49" s="91">
        <f t="shared" si="6"/>
        <v>1.4917126899352586</v>
      </c>
      <c r="G49" s="91">
        <f t="shared" si="3"/>
        <v>1.6707182127274898</v>
      </c>
      <c r="H49" s="90">
        <f t="shared" si="7"/>
        <v>5.2985281528169903</v>
      </c>
      <c r="I49" s="90">
        <f t="shared" si="4"/>
        <v>5.9343515311550297</v>
      </c>
      <c r="J49" s="118">
        <v>304954.34480000002</v>
      </c>
      <c r="K49" s="89">
        <v>4974692.1688999897</v>
      </c>
      <c r="L49" s="89">
        <v>44.898961659999898</v>
      </c>
      <c r="M49" s="89">
        <v>-95.47022149</v>
      </c>
      <c r="N49" s="66" t="s">
        <v>1127</v>
      </c>
    </row>
    <row r="50" spans="1:14" x14ac:dyDescent="0.25">
      <c r="A50" s="66" t="s">
        <v>1130</v>
      </c>
      <c r="B50" s="10" t="s">
        <v>2092</v>
      </c>
      <c r="C50" s="93">
        <v>0.02</v>
      </c>
      <c r="D50" s="93" t="s">
        <v>2053</v>
      </c>
      <c r="E50" s="92">
        <f t="shared" si="5"/>
        <v>20.021362400000001</v>
      </c>
      <c r="F50" s="91">
        <f t="shared" si="6"/>
        <v>1.4087246171271937</v>
      </c>
      <c r="G50" s="91">
        <f t="shared" si="3"/>
        <v>1.5777715711824571</v>
      </c>
      <c r="H50" s="90">
        <f t="shared" si="7"/>
        <v>5.1831498351919372</v>
      </c>
      <c r="I50" s="90">
        <f t="shared" si="4"/>
        <v>5.8051278154149699</v>
      </c>
      <c r="J50" s="118">
        <v>445003.86709999898</v>
      </c>
      <c r="K50" s="89">
        <v>4995315.7759999903</v>
      </c>
      <c r="L50" s="89">
        <v>45.109199840000002</v>
      </c>
      <c r="M50" s="89">
        <v>-93.698960060000005</v>
      </c>
      <c r="N50" s="66" t="s">
        <v>1131</v>
      </c>
    </row>
    <row r="51" spans="1:14" x14ac:dyDescent="0.25">
      <c r="A51" s="66" t="s">
        <v>1132</v>
      </c>
      <c r="B51" s="10" t="s">
        <v>2091</v>
      </c>
      <c r="C51" s="93">
        <v>3</v>
      </c>
      <c r="D51" s="93" t="s">
        <v>2053</v>
      </c>
      <c r="E51" s="92">
        <f t="shared" si="5"/>
        <v>46.448360000000001</v>
      </c>
      <c r="F51" s="91">
        <f t="shared" si="6"/>
        <v>3.268156624405643</v>
      </c>
      <c r="G51" s="91">
        <f t="shared" si="3"/>
        <v>3.6603354193343205</v>
      </c>
      <c r="H51" s="90">
        <f t="shared" si="7"/>
        <v>7.7683181549111655</v>
      </c>
      <c r="I51" s="90">
        <f t="shared" si="4"/>
        <v>8.7005163335005058</v>
      </c>
      <c r="J51" s="118">
        <v>359656.27130000002</v>
      </c>
      <c r="K51" s="89">
        <v>5059861.2341999896</v>
      </c>
      <c r="L51" s="89">
        <v>45.678117469999897</v>
      </c>
      <c r="M51" s="89">
        <v>-94.801900810000006</v>
      </c>
      <c r="N51" s="66" t="s">
        <v>1133</v>
      </c>
    </row>
    <row r="52" spans="1:14" x14ac:dyDescent="0.25">
      <c r="A52" s="66" t="s">
        <v>1134</v>
      </c>
      <c r="B52" s="10" t="s">
        <v>2090</v>
      </c>
      <c r="C52" s="93">
        <v>3</v>
      </c>
      <c r="D52" s="93" t="s">
        <v>2053</v>
      </c>
      <c r="E52" s="92">
        <f t="shared" si="5"/>
        <v>46.448360000000001</v>
      </c>
      <c r="F52" s="91">
        <f t="shared" si="6"/>
        <v>3.268156624405643</v>
      </c>
      <c r="G52" s="91">
        <f t="shared" si="3"/>
        <v>3.6603354193343205</v>
      </c>
      <c r="H52" s="90">
        <f t="shared" si="7"/>
        <v>7.7683181549111655</v>
      </c>
      <c r="I52" s="90">
        <f t="shared" si="4"/>
        <v>8.7005163335005058</v>
      </c>
      <c r="J52" s="118">
        <v>284579.96724000003</v>
      </c>
      <c r="K52" s="89">
        <v>4980011.0801900001</v>
      </c>
      <c r="L52" s="89">
        <v>44.940888889999897</v>
      </c>
      <c r="M52" s="89">
        <v>-95.730416669999897</v>
      </c>
      <c r="N52" s="66" t="s">
        <v>1135</v>
      </c>
    </row>
    <row r="53" spans="1:14" x14ac:dyDescent="0.25">
      <c r="A53" s="66" t="s">
        <v>1136</v>
      </c>
      <c r="B53" s="10" t="s">
        <v>2089</v>
      </c>
      <c r="C53" s="93">
        <v>0.96799999999999997</v>
      </c>
      <c r="D53" s="93" t="s">
        <v>2053</v>
      </c>
      <c r="E53" s="92">
        <f t="shared" si="5"/>
        <v>28.428340159999998</v>
      </c>
      <c r="F53" s="91">
        <f t="shared" si="6"/>
        <v>2.0002486248117468</v>
      </c>
      <c r="G53" s="91">
        <f t="shared" si="3"/>
        <v>2.2402784597891565</v>
      </c>
      <c r="H53" s="90">
        <f t="shared" si="7"/>
        <v>6.0055456630757718</v>
      </c>
      <c r="I53" s="90">
        <f t="shared" si="4"/>
        <v>6.726211142644865</v>
      </c>
      <c r="J53" s="118">
        <v>453213.78450000001</v>
      </c>
      <c r="K53" s="89">
        <v>4922860.3575999904</v>
      </c>
      <c r="L53" s="89">
        <v>44.457562930000002</v>
      </c>
      <c r="M53" s="89">
        <v>-93.587941700000002</v>
      </c>
      <c r="N53" s="66" t="s">
        <v>1137</v>
      </c>
    </row>
    <row r="54" spans="1:14" x14ac:dyDescent="0.25">
      <c r="A54" s="66" t="s">
        <v>1138</v>
      </c>
      <c r="B54" s="10" t="s">
        <v>2088</v>
      </c>
      <c r="C54" s="93">
        <v>0.26</v>
      </c>
      <c r="D54" s="93" t="s">
        <v>2053</v>
      </c>
      <c r="E54" s="92">
        <f t="shared" si="5"/>
        <v>22.149711200000002</v>
      </c>
      <c r="F54" s="91">
        <f t="shared" si="6"/>
        <v>1.5584775304650555</v>
      </c>
      <c r="G54" s="91">
        <f t="shared" si="3"/>
        <v>1.7454948341208625</v>
      </c>
      <c r="H54" s="90">
        <f t="shared" si="7"/>
        <v>5.3913513106055664</v>
      </c>
      <c r="I54" s="90">
        <f t="shared" si="4"/>
        <v>6.0383134678782353</v>
      </c>
      <c r="J54" s="118">
        <v>345021.02879999898</v>
      </c>
      <c r="K54" s="89">
        <v>4921753.9474999905</v>
      </c>
      <c r="L54" s="89">
        <v>44.432514990000001</v>
      </c>
      <c r="M54" s="89">
        <v>-94.947068560000005</v>
      </c>
      <c r="N54" s="66" t="s">
        <v>1139</v>
      </c>
    </row>
    <row r="55" spans="1:14" x14ac:dyDescent="0.25">
      <c r="A55" s="66" t="s">
        <v>1140</v>
      </c>
      <c r="B55" s="10" t="s">
        <v>2087</v>
      </c>
      <c r="C55" s="93">
        <v>0.96399999999999997</v>
      </c>
      <c r="D55" s="93" t="s">
        <v>2053</v>
      </c>
      <c r="E55" s="92">
        <f t="shared" si="5"/>
        <v>28.392867680000002</v>
      </c>
      <c r="F55" s="91">
        <f t="shared" si="6"/>
        <v>1.997752742922783</v>
      </c>
      <c r="G55" s="91">
        <f t="shared" si="3"/>
        <v>2.237483072073517</v>
      </c>
      <c r="H55" s="90">
        <f t="shared" si="7"/>
        <v>6.0020756384855449</v>
      </c>
      <c r="I55" s="90">
        <f t="shared" si="4"/>
        <v>6.7223247151038112</v>
      </c>
      <c r="J55" s="118">
        <v>275994.35320000001</v>
      </c>
      <c r="K55" s="89">
        <v>5049028.9051999897</v>
      </c>
      <c r="L55" s="89">
        <v>45.558758939999898</v>
      </c>
      <c r="M55" s="89">
        <v>-95.870059749999896</v>
      </c>
      <c r="N55" s="66" t="s">
        <v>1141</v>
      </c>
    </row>
    <row r="56" spans="1:14" x14ac:dyDescent="0.25">
      <c r="A56" s="66" t="s">
        <v>1148</v>
      </c>
      <c r="B56" s="10" t="s">
        <v>2086</v>
      </c>
      <c r="C56" s="93">
        <v>4.2000000000000003E-2</v>
      </c>
      <c r="D56" s="93" t="s">
        <v>2053</v>
      </c>
      <c r="E56" s="92">
        <f t="shared" si="5"/>
        <v>20.216461040000002</v>
      </c>
      <c r="F56" s="91">
        <f t="shared" si="6"/>
        <v>1.4224519675164979</v>
      </c>
      <c r="G56" s="91">
        <f t="shared" si="3"/>
        <v>1.5931462036184778</v>
      </c>
      <c r="H56" s="90">
        <f t="shared" si="7"/>
        <v>5.2022349704381874</v>
      </c>
      <c r="I56" s="90">
        <f t="shared" si="4"/>
        <v>5.8265031668907703</v>
      </c>
      <c r="J56" s="118">
        <v>495098.86349999899</v>
      </c>
      <c r="K56" s="89">
        <v>4909580.1004999904</v>
      </c>
      <c r="L56" s="89">
        <v>44.339499930000002</v>
      </c>
      <c r="M56" s="89">
        <v>-93.06132891</v>
      </c>
      <c r="N56" s="66" t="s">
        <v>1149</v>
      </c>
    </row>
    <row r="57" spans="1:14" x14ac:dyDescent="0.25">
      <c r="A57" s="66" t="s">
        <v>1150</v>
      </c>
      <c r="B57" s="10" t="s">
        <v>2085</v>
      </c>
      <c r="C57" s="93">
        <v>1.83</v>
      </c>
      <c r="D57" s="93" t="s">
        <v>2053</v>
      </c>
      <c r="E57" s="92">
        <f t="shared" si="5"/>
        <v>36.072659600000001</v>
      </c>
      <c r="F57" s="91">
        <f t="shared" si="6"/>
        <v>2.5381111718835672</v>
      </c>
      <c r="G57" s="91">
        <f t="shared" si="3"/>
        <v>2.8426845125095954</v>
      </c>
      <c r="H57" s="90">
        <f t="shared" si="7"/>
        <v>6.7533359622697233</v>
      </c>
      <c r="I57" s="90">
        <f t="shared" si="4"/>
        <v>7.5637362777420911</v>
      </c>
      <c r="J57" s="118">
        <v>454201.06079999899</v>
      </c>
      <c r="K57" s="89">
        <v>4933577.9266999904</v>
      </c>
      <c r="L57" s="89">
        <v>44.554108380000002</v>
      </c>
      <c r="M57" s="89">
        <v>-93.576482819999896</v>
      </c>
      <c r="N57" s="66" t="s">
        <v>1151</v>
      </c>
    </row>
    <row r="58" spans="1:14" x14ac:dyDescent="0.25">
      <c r="A58" s="66" t="s">
        <v>1152</v>
      </c>
      <c r="B58" s="10" t="s">
        <v>2084</v>
      </c>
      <c r="C58" s="93">
        <v>0.6</v>
      </c>
      <c r="D58" s="93" t="s">
        <v>2053</v>
      </c>
      <c r="E58" s="92">
        <f t="shared" si="5"/>
        <v>25.164872000000003</v>
      </c>
      <c r="F58" s="91">
        <f t="shared" si="6"/>
        <v>1.7706274910270261</v>
      </c>
      <c r="G58" s="91">
        <f t="shared" si="3"/>
        <v>1.9831027899502693</v>
      </c>
      <c r="H58" s="90">
        <f t="shared" si="7"/>
        <v>5.6863034007748752</v>
      </c>
      <c r="I58" s="90">
        <f t="shared" si="4"/>
        <v>6.3686598088678608</v>
      </c>
      <c r="J58" s="118">
        <v>459625.92599999899</v>
      </c>
      <c r="K58" s="89">
        <v>4860310.5493999897</v>
      </c>
      <c r="L58" s="89">
        <v>43.8948213299999</v>
      </c>
      <c r="M58" s="89">
        <v>-93.502538360000003</v>
      </c>
      <c r="N58" s="66" t="s">
        <v>1153</v>
      </c>
    </row>
    <row r="59" spans="1:14" x14ac:dyDescent="0.25">
      <c r="A59" s="66" t="s">
        <v>1156</v>
      </c>
      <c r="B59" s="10" t="s">
        <v>2083</v>
      </c>
      <c r="C59" s="93">
        <v>0.90800000000000003</v>
      </c>
      <c r="D59" s="93" t="s">
        <v>2053</v>
      </c>
      <c r="E59" s="92">
        <f t="shared" si="5"/>
        <v>27.896252959999998</v>
      </c>
      <c r="F59" s="91">
        <f t="shared" si="6"/>
        <v>1.9628103964772818</v>
      </c>
      <c r="G59" s="91">
        <f t="shared" si="3"/>
        <v>2.198347644054556</v>
      </c>
      <c r="H59" s="90">
        <f t="shared" si="7"/>
        <v>5.9534952942223658</v>
      </c>
      <c r="I59" s="90">
        <f t="shared" si="4"/>
        <v>6.6679147295290502</v>
      </c>
      <c r="J59" s="118">
        <v>427441.39510000002</v>
      </c>
      <c r="K59" s="89">
        <v>4957484.2007999904</v>
      </c>
      <c r="L59" s="89">
        <v>44.76709838</v>
      </c>
      <c r="M59" s="89">
        <v>-93.916754060000002</v>
      </c>
      <c r="N59" s="66" t="s">
        <v>1157</v>
      </c>
    </row>
    <row r="60" spans="1:14" x14ac:dyDescent="0.25">
      <c r="A60" s="66" t="s">
        <v>1160</v>
      </c>
      <c r="B60" s="10" t="s">
        <v>2082</v>
      </c>
      <c r="C60" s="93">
        <v>0.98</v>
      </c>
      <c r="D60" s="93" t="s">
        <v>2053</v>
      </c>
      <c r="E60" s="92">
        <f t="shared" si="5"/>
        <v>28.534757599999999</v>
      </c>
      <c r="F60" s="91">
        <f t="shared" si="6"/>
        <v>2.0077362704786403</v>
      </c>
      <c r="G60" s="91">
        <f t="shared" si="3"/>
        <v>2.2486646229360776</v>
      </c>
      <c r="H60" s="90">
        <f t="shared" si="7"/>
        <v>6.015955736846454</v>
      </c>
      <c r="I60" s="90">
        <f t="shared" si="4"/>
        <v>6.7378704252680288</v>
      </c>
      <c r="J60" s="118">
        <v>340593.18800000002</v>
      </c>
      <c r="K60" s="89">
        <v>4959031.1194000002</v>
      </c>
      <c r="L60" s="89">
        <v>44.766936540000003</v>
      </c>
      <c r="M60" s="89">
        <v>-95.014227930000004</v>
      </c>
      <c r="N60" s="66" t="s">
        <v>1161</v>
      </c>
    </row>
    <row r="61" spans="1:14" x14ac:dyDescent="0.25">
      <c r="A61" s="66" t="s">
        <v>1162</v>
      </c>
      <c r="B61" s="10" t="s">
        <v>2081</v>
      </c>
      <c r="C61" s="93">
        <v>0.72</v>
      </c>
      <c r="D61" s="93" t="s">
        <v>2053</v>
      </c>
      <c r="E61" s="92">
        <f t="shared" si="5"/>
        <v>26.229046400000001</v>
      </c>
      <c r="F61" s="91">
        <f t="shared" si="6"/>
        <v>1.8455039476959569</v>
      </c>
      <c r="G61" s="91">
        <f t="shared" si="3"/>
        <v>2.0669644214194718</v>
      </c>
      <c r="H61" s="90">
        <f t="shared" si="7"/>
        <v>5.7904041384816889</v>
      </c>
      <c r="I61" s="90">
        <f t="shared" si="4"/>
        <v>6.4852526350994921</v>
      </c>
      <c r="J61" s="118">
        <v>448352.58899999899</v>
      </c>
      <c r="K61" s="89">
        <v>5012159.0285</v>
      </c>
      <c r="L61" s="89">
        <v>45.261059199999899</v>
      </c>
      <c r="M61" s="89">
        <v>-93.658138890000004</v>
      </c>
      <c r="N61" s="66" t="s">
        <v>1163</v>
      </c>
    </row>
    <row r="62" spans="1:14" x14ac:dyDescent="0.25">
      <c r="A62" s="66" t="s">
        <v>1168</v>
      </c>
      <c r="B62" s="10" t="s">
        <v>2080</v>
      </c>
      <c r="C62" s="93">
        <v>0.77100000000000002</v>
      </c>
      <c r="D62" s="93" t="s">
        <v>2053</v>
      </c>
      <c r="E62" s="92">
        <f t="shared" si="5"/>
        <v>26.68132052</v>
      </c>
      <c r="F62" s="91">
        <f t="shared" si="6"/>
        <v>1.8773264417802524</v>
      </c>
      <c r="G62" s="91">
        <f t="shared" si="3"/>
        <v>2.102605614793883</v>
      </c>
      <c r="H62" s="90">
        <f t="shared" si="7"/>
        <v>5.8346469520070858</v>
      </c>
      <c r="I62" s="90">
        <f t="shared" si="4"/>
        <v>6.5348045862479367</v>
      </c>
      <c r="J62" s="118">
        <v>263213.44400000002</v>
      </c>
      <c r="K62" s="89">
        <v>5161852.2675000001</v>
      </c>
      <c r="L62" s="89">
        <v>46.5685151899999</v>
      </c>
      <c r="M62" s="89">
        <v>-96.08970334</v>
      </c>
      <c r="N62" s="66" t="s">
        <v>1169</v>
      </c>
    </row>
    <row r="63" spans="1:14" x14ac:dyDescent="0.25">
      <c r="A63" s="66" t="s">
        <v>1174</v>
      </c>
      <c r="B63" s="10" t="s">
        <v>2079</v>
      </c>
      <c r="C63" s="93">
        <v>0.93</v>
      </c>
      <c r="D63" s="93" t="s">
        <v>2053</v>
      </c>
      <c r="E63" s="92">
        <f t="shared" si="5"/>
        <v>28.091351600000003</v>
      </c>
      <c r="F63" s="91">
        <f t="shared" si="6"/>
        <v>1.9765377468665861</v>
      </c>
      <c r="G63" s="91">
        <f t="shared" si="3"/>
        <v>2.2137222764905768</v>
      </c>
      <c r="H63" s="90">
        <f t="shared" si="7"/>
        <v>5.9725804294686151</v>
      </c>
      <c r="I63" s="90">
        <f t="shared" si="4"/>
        <v>6.6892900810048497</v>
      </c>
      <c r="J63" s="118">
        <v>226541.34890000001</v>
      </c>
      <c r="K63" s="89">
        <v>4876792.6026999904</v>
      </c>
      <c r="L63" s="89">
        <v>43.9933990299999</v>
      </c>
      <c r="M63" s="89">
        <v>-96.410202940000005</v>
      </c>
      <c r="N63" s="66" t="s">
        <v>1175</v>
      </c>
    </row>
    <row r="64" spans="1:14" x14ac:dyDescent="0.25">
      <c r="A64" s="66" t="s">
        <v>1183</v>
      </c>
      <c r="B64" s="10" t="s">
        <v>2078</v>
      </c>
      <c r="C64" s="93">
        <v>5.5E-2</v>
      </c>
      <c r="D64" s="93" t="s">
        <v>2053</v>
      </c>
      <c r="E64" s="92">
        <f t="shared" si="5"/>
        <v>20.331746600000002</v>
      </c>
      <c r="F64" s="91">
        <f t="shared" si="6"/>
        <v>1.4305635836556321</v>
      </c>
      <c r="G64" s="91">
        <f t="shared" si="3"/>
        <v>1.602231213694308</v>
      </c>
      <c r="H64" s="90">
        <f t="shared" si="7"/>
        <v>5.213512550356425</v>
      </c>
      <c r="I64" s="90">
        <f t="shared" si="4"/>
        <v>5.8391340563991969</v>
      </c>
      <c r="J64" s="118">
        <v>326108.030399999</v>
      </c>
      <c r="K64" s="89">
        <v>4978517.4154000003</v>
      </c>
      <c r="L64" s="89">
        <v>44.938851390000004</v>
      </c>
      <c r="M64" s="89">
        <v>-95.203822639999899</v>
      </c>
      <c r="N64" s="66" t="s">
        <v>1184</v>
      </c>
    </row>
    <row r="65" spans="1:14" x14ac:dyDescent="0.25">
      <c r="A65" s="66" t="s">
        <v>1191</v>
      </c>
      <c r="B65" s="10" t="s">
        <v>2077</v>
      </c>
      <c r="C65" s="93">
        <v>0.85299999999999998</v>
      </c>
      <c r="D65" s="93" t="s">
        <v>2053</v>
      </c>
      <c r="E65" s="92">
        <f t="shared" si="5"/>
        <v>27.408506360000001</v>
      </c>
      <c r="F65" s="91">
        <f t="shared" si="6"/>
        <v>1.9284920205040219</v>
      </c>
      <c r="G65" s="91">
        <f t="shared" si="3"/>
        <v>2.1599110629645049</v>
      </c>
      <c r="H65" s="90">
        <f t="shared" si="7"/>
        <v>5.905782456106742</v>
      </c>
      <c r="I65" s="90">
        <f t="shared" si="4"/>
        <v>6.6144763508395519</v>
      </c>
      <c r="J65" s="118">
        <v>324358.62790000002</v>
      </c>
      <c r="K65" s="89">
        <v>4961601.1725000003</v>
      </c>
      <c r="L65" s="89">
        <v>44.786253879999897</v>
      </c>
      <c r="M65" s="89">
        <v>-95.220119350000004</v>
      </c>
      <c r="N65" s="66" t="s">
        <v>1192</v>
      </c>
    </row>
    <row r="66" spans="1:14" x14ac:dyDescent="0.25">
      <c r="A66" s="66" t="s">
        <v>1195</v>
      </c>
      <c r="B66" s="10" t="s">
        <v>2076</v>
      </c>
      <c r="C66" s="184">
        <v>1.103</v>
      </c>
      <c r="D66" s="184" t="s">
        <v>2051</v>
      </c>
      <c r="E66" s="92">
        <f t="shared" ref="E66:E89" si="8">C66*8.86812+19.844</f>
        <v>29.625536359999998</v>
      </c>
      <c r="F66" s="91">
        <f t="shared" ref="F66:F89" si="9">-PMT(0.035,20,(C66*8.86812+19.844))</f>
        <v>2.0844846385642941</v>
      </c>
      <c r="G66" s="91">
        <f t="shared" si="3"/>
        <v>2.3346227951920095</v>
      </c>
      <c r="H66" s="90">
        <f t="shared" ref="H66:H89" si="10">1.3903*F66 + 3.2246</f>
        <v>6.1226589929959383</v>
      </c>
      <c r="I66" s="90">
        <f t="shared" si="4"/>
        <v>6.8573780721554511</v>
      </c>
      <c r="J66" s="118">
        <v>455290.67820000002</v>
      </c>
      <c r="K66" s="89">
        <v>5005594.4134</v>
      </c>
      <c r="L66" s="89">
        <v>45.202445830000002</v>
      </c>
      <c r="M66" s="89">
        <v>-93.569121210000006</v>
      </c>
      <c r="N66" s="66" t="s">
        <v>1196</v>
      </c>
    </row>
    <row r="67" spans="1:14" x14ac:dyDescent="0.25">
      <c r="A67" s="66" t="s">
        <v>1199</v>
      </c>
      <c r="B67" s="10" t="s">
        <v>2075</v>
      </c>
      <c r="C67" s="93">
        <v>0.23699999999999999</v>
      </c>
      <c r="D67" s="93" t="s">
        <v>2053</v>
      </c>
      <c r="E67" s="92">
        <f t="shared" si="8"/>
        <v>21.945744440000002</v>
      </c>
      <c r="F67" s="91">
        <f t="shared" si="9"/>
        <v>1.5441262096035104</v>
      </c>
      <c r="G67" s="91">
        <f t="shared" ref="G67:G89" si="11">F67*1.12</f>
        <v>1.7294213547559318</v>
      </c>
      <c r="H67" s="90">
        <f t="shared" si="10"/>
        <v>5.3713986692117608</v>
      </c>
      <c r="I67" s="90">
        <f t="shared" ref="I67:I89" si="12">H67*1.12</f>
        <v>6.015966509517173</v>
      </c>
      <c r="J67" s="118">
        <v>314426.34669999901</v>
      </c>
      <c r="K67" s="89">
        <v>4961588.9955000002</v>
      </c>
      <c r="L67" s="89">
        <v>44.783635250000003</v>
      </c>
      <c r="M67" s="89">
        <v>-95.345566079999898</v>
      </c>
      <c r="N67" s="66" t="s">
        <v>1200</v>
      </c>
    </row>
    <row r="68" spans="1:14" x14ac:dyDescent="0.25">
      <c r="A68" s="66" t="s">
        <v>1201</v>
      </c>
      <c r="B68" s="10" t="s">
        <v>2074</v>
      </c>
      <c r="C68" s="93">
        <v>2.96</v>
      </c>
      <c r="D68" s="93" t="s">
        <v>2053</v>
      </c>
      <c r="E68" s="92">
        <f t="shared" si="8"/>
        <v>46.093635199999994</v>
      </c>
      <c r="F68" s="91">
        <f t="shared" si="9"/>
        <v>3.2431978055159987</v>
      </c>
      <c r="G68" s="91">
        <f t="shared" si="11"/>
        <v>3.6323815421779186</v>
      </c>
      <c r="H68" s="90">
        <f t="shared" si="10"/>
        <v>7.7336179090088937</v>
      </c>
      <c r="I68" s="90">
        <f t="shared" si="12"/>
        <v>8.6616520580899614</v>
      </c>
      <c r="J68" s="118">
        <v>370953.75</v>
      </c>
      <c r="K68" s="89">
        <v>4872043.5</v>
      </c>
      <c r="L68" s="89">
        <v>43.990200039999898</v>
      </c>
      <c r="M68" s="89">
        <v>-94.609298710000004</v>
      </c>
      <c r="N68" s="66" t="s">
        <v>1202</v>
      </c>
    </row>
    <row r="69" spans="1:14" x14ac:dyDescent="0.25">
      <c r="A69" s="66" t="s">
        <v>1207</v>
      </c>
      <c r="B69" s="10" t="s">
        <v>2073</v>
      </c>
      <c r="C69" s="93">
        <v>0.88800000000000001</v>
      </c>
      <c r="D69" s="93" t="s">
        <v>2053</v>
      </c>
      <c r="E69" s="92">
        <f t="shared" si="8"/>
        <v>27.718890560000002</v>
      </c>
      <c r="F69" s="91">
        <f t="shared" si="9"/>
        <v>1.9503309870324603</v>
      </c>
      <c r="G69" s="91">
        <f t="shared" si="11"/>
        <v>2.1843707054763559</v>
      </c>
      <c r="H69" s="90">
        <f t="shared" si="10"/>
        <v>5.9361451712712299</v>
      </c>
      <c r="I69" s="90">
        <f t="shared" si="12"/>
        <v>6.648482591823778</v>
      </c>
      <c r="J69" s="118">
        <v>349001.31640000001</v>
      </c>
      <c r="K69" s="89">
        <v>5064652.3997999895</v>
      </c>
      <c r="L69" s="89">
        <v>45.71897774</v>
      </c>
      <c r="M69" s="89">
        <v>-94.940127939999897</v>
      </c>
      <c r="N69" s="66" t="s">
        <v>1208</v>
      </c>
    </row>
    <row r="70" spans="1:14" x14ac:dyDescent="0.25">
      <c r="A70" s="66" t="s">
        <v>1209</v>
      </c>
      <c r="B70" s="10" t="s">
        <v>2072</v>
      </c>
      <c r="C70" s="93">
        <v>0.33200000000000002</v>
      </c>
      <c r="D70" s="93" t="s">
        <v>2053</v>
      </c>
      <c r="E70" s="92">
        <f t="shared" si="8"/>
        <v>22.788215839999999</v>
      </c>
      <c r="F70" s="91">
        <f t="shared" si="9"/>
        <v>1.6034034044664138</v>
      </c>
      <c r="G70" s="91">
        <f t="shared" si="11"/>
        <v>1.7958118130023837</v>
      </c>
      <c r="H70" s="90">
        <f t="shared" si="10"/>
        <v>5.4538117532296555</v>
      </c>
      <c r="I70" s="90">
        <f t="shared" si="12"/>
        <v>6.1082691636172148</v>
      </c>
      <c r="J70" s="118">
        <v>361744.19750000001</v>
      </c>
      <c r="K70" s="89">
        <v>4834670.2394000003</v>
      </c>
      <c r="L70" s="89">
        <v>43.652207099999899</v>
      </c>
      <c r="M70" s="89">
        <v>-94.714294129999899</v>
      </c>
      <c r="N70" s="66" t="s">
        <v>1210</v>
      </c>
    </row>
    <row r="71" spans="1:14" x14ac:dyDescent="0.25">
      <c r="A71" s="66" t="s">
        <v>1211</v>
      </c>
      <c r="B71" s="10" t="s">
        <v>2071</v>
      </c>
      <c r="C71" s="93">
        <v>0.7</v>
      </c>
      <c r="D71" s="93" t="s">
        <v>2053</v>
      </c>
      <c r="E71" s="92">
        <f t="shared" si="8"/>
        <v>26.051684000000002</v>
      </c>
      <c r="F71" s="91">
        <f t="shared" si="9"/>
        <v>1.8330245382511352</v>
      </c>
      <c r="G71" s="91">
        <f t="shared" si="11"/>
        <v>2.0529874828412717</v>
      </c>
      <c r="H71" s="90">
        <f t="shared" si="10"/>
        <v>5.773054015530553</v>
      </c>
      <c r="I71" s="90">
        <f t="shared" si="12"/>
        <v>6.4658204973942199</v>
      </c>
      <c r="J71" s="118">
        <v>363710.28125</v>
      </c>
      <c r="K71" s="89">
        <v>4903759.5</v>
      </c>
      <c r="L71" s="89">
        <v>44.274318700000002</v>
      </c>
      <c r="M71" s="89">
        <v>-94.70780182</v>
      </c>
      <c r="N71" s="66" t="s">
        <v>1212</v>
      </c>
    </row>
    <row r="72" spans="1:14" x14ac:dyDescent="0.25">
      <c r="A72" s="66" t="s">
        <v>1215</v>
      </c>
      <c r="B72" s="10" t="s">
        <v>2070</v>
      </c>
      <c r="C72" s="93">
        <v>0.78</v>
      </c>
      <c r="D72" s="93" t="s">
        <v>2053</v>
      </c>
      <c r="E72" s="92">
        <f t="shared" si="8"/>
        <v>26.761133600000001</v>
      </c>
      <c r="F72" s="91">
        <f t="shared" si="9"/>
        <v>1.8829421760304224</v>
      </c>
      <c r="G72" s="91">
        <f t="shared" si="11"/>
        <v>2.1088952371540732</v>
      </c>
      <c r="H72" s="90">
        <f t="shared" si="10"/>
        <v>5.8424545073350966</v>
      </c>
      <c r="I72" s="90">
        <f t="shared" si="12"/>
        <v>6.5435490482153087</v>
      </c>
      <c r="J72" s="118">
        <v>343101.0661</v>
      </c>
      <c r="K72" s="89">
        <v>4900335.3457000004</v>
      </c>
      <c r="L72" s="89">
        <v>44.239384110000003</v>
      </c>
      <c r="M72" s="89">
        <v>-94.964729270000007</v>
      </c>
      <c r="N72" s="66" t="s">
        <v>1216</v>
      </c>
    </row>
    <row r="73" spans="1:14" x14ac:dyDescent="0.25">
      <c r="A73" s="66" t="s">
        <v>1217</v>
      </c>
      <c r="B73" s="10" t="s">
        <v>2069</v>
      </c>
      <c r="C73" s="93">
        <v>0.68</v>
      </c>
      <c r="D73" s="93" t="s">
        <v>2053</v>
      </c>
      <c r="E73" s="92">
        <f t="shared" si="8"/>
        <v>25.874321600000002</v>
      </c>
      <c r="F73" s="91">
        <f t="shared" si="9"/>
        <v>1.8205451288063133</v>
      </c>
      <c r="G73" s="91">
        <f t="shared" si="11"/>
        <v>2.0390105442630708</v>
      </c>
      <c r="H73" s="90">
        <f t="shared" si="10"/>
        <v>5.7557038925794171</v>
      </c>
      <c r="I73" s="90">
        <f t="shared" si="12"/>
        <v>6.4463883596889477</v>
      </c>
      <c r="J73" s="118">
        <v>363050.45130000002</v>
      </c>
      <c r="K73" s="89">
        <v>5135977.0771000003</v>
      </c>
      <c r="L73" s="89">
        <v>46.3635352599999</v>
      </c>
      <c r="M73" s="89">
        <v>-94.78018951</v>
      </c>
      <c r="N73" s="66" t="s">
        <v>1218</v>
      </c>
    </row>
    <row r="74" spans="1:14" x14ac:dyDescent="0.25">
      <c r="A74" s="66" t="s">
        <v>1221</v>
      </c>
      <c r="B74" s="10" t="s">
        <v>2068</v>
      </c>
      <c r="C74" s="93">
        <v>2.99</v>
      </c>
      <c r="D74" s="93" t="s">
        <v>2053</v>
      </c>
      <c r="E74" s="92">
        <f t="shared" si="8"/>
        <v>46.359678799999998</v>
      </c>
      <c r="F74" s="91">
        <f t="shared" si="9"/>
        <v>3.2619169196832316</v>
      </c>
      <c r="G74" s="91">
        <f t="shared" si="11"/>
        <v>3.6533469500452198</v>
      </c>
      <c r="H74" s="90">
        <f t="shared" si="10"/>
        <v>7.7596430934355975</v>
      </c>
      <c r="I74" s="90">
        <f t="shared" si="12"/>
        <v>8.6908002646478693</v>
      </c>
      <c r="J74" s="118">
        <v>259468.478</v>
      </c>
      <c r="K74" s="89">
        <v>5333088.7088000001</v>
      </c>
      <c r="L74" s="89">
        <v>48.105627660000003</v>
      </c>
      <c r="M74" s="89">
        <v>-96.2311069699999</v>
      </c>
      <c r="N74" s="66" t="s">
        <v>1222</v>
      </c>
    </row>
    <row r="75" spans="1:14" x14ac:dyDescent="0.25">
      <c r="A75" s="66" t="s">
        <v>1223</v>
      </c>
      <c r="B75" s="10" t="s">
        <v>2067</v>
      </c>
      <c r="C75" s="93">
        <v>0.186</v>
      </c>
      <c r="D75" s="93" t="s">
        <v>2053</v>
      </c>
      <c r="E75" s="92">
        <f t="shared" si="8"/>
        <v>21.49347032</v>
      </c>
      <c r="F75" s="91">
        <f t="shared" si="9"/>
        <v>1.5123037155192147</v>
      </c>
      <c r="G75" s="91">
        <f t="shared" si="11"/>
        <v>1.6937801613815207</v>
      </c>
      <c r="H75" s="90">
        <f t="shared" si="10"/>
        <v>5.3271558556863639</v>
      </c>
      <c r="I75" s="90">
        <f t="shared" si="12"/>
        <v>5.9664145583687285</v>
      </c>
      <c r="J75" s="118">
        <v>363126.00750000001</v>
      </c>
      <c r="K75" s="89">
        <v>4847632.6809</v>
      </c>
      <c r="L75" s="89">
        <v>43.76912471</v>
      </c>
      <c r="M75" s="89">
        <v>-94.700462790000003</v>
      </c>
      <c r="N75" s="66" t="s">
        <v>1224</v>
      </c>
    </row>
    <row r="76" spans="1:14" x14ac:dyDescent="0.25">
      <c r="A76" s="66" t="s">
        <v>1225</v>
      </c>
      <c r="B76" s="10" t="s">
        <v>2066</v>
      </c>
      <c r="C76" s="93">
        <v>0.78</v>
      </c>
      <c r="D76" s="93" t="s">
        <v>2053</v>
      </c>
      <c r="E76" s="92">
        <f t="shared" si="8"/>
        <v>26.761133600000001</v>
      </c>
      <c r="F76" s="91">
        <f t="shared" si="9"/>
        <v>1.8829421760304224</v>
      </c>
      <c r="G76" s="91">
        <f t="shared" si="11"/>
        <v>2.1088952371540732</v>
      </c>
      <c r="H76" s="90">
        <f t="shared" si="10"/>
        <v>5.8424545073350966</v>
      </c>
      <c r="I76" s="90">
        <f t="shared" si="12"/>
        <v>6.5435490482153087</v>
      </c>
      <c r="J76" s="118">
        <v>385988.61940000003</v>
      </c>
      <c r="K76" s="89">
        <v>4853360.9367000004</v>
      </c>
      <c r="L76" s="89">
        <v>43.824558490000001</v>
      </c>
      <c r="M76" s="89">
        <v>-94.417715220000005</v>
      </c>
      <c r="N76" s="66" t="s">
        <v>1226</v>
      </c>
    </row>
    <row r="77" spans="1:14" x14ac:dyDescent="0.25">
      <c r="A77" s="66" t="s">
        <v>1227</v>
      </c>
      <c r="B77" s="10" t="s">
        <v>2065</v>
      </c>
      <c r="C77" s="93">
        <v>4.3</v>
      </c>
      <c r="D77" s="93" t="s">
        <v>2053</v>
      </c>
      <c r="E77" s="92">
        <f t="shared" si="8"/>
        <v>57.976915999999996</v>
      </c>
      <c r="F77" s="91">
        <f t="shared" si="9"/>
        <v>4.0793182383190603</v>
      </c>
      <c r="G77" s="91">
        <f t="shared" si="11"/>
        <v>4.5688364269173478</v>
      </c>
      <c r="H77" s="90">
        <f t="shared" si="10"/>
        <v>8.8960761467349894</v>
      </c>
      <c r="I77" s="90">
        <f t="shared" si="12"/>
        <v>9.9636052843431884</v>
      </c>
      <c r="J77" s="118">
        <v>533613.35609999904</v>
      </c>
      <c r="K77" s="89">
        <v>5260711.7931000004</v>
      </c>
      <c r="L77" s="89">
        <v>47.49899739</v>
      </c>
      <c r="M77" s="89">
        <v>-92.553541539999898</v>
      </c>
      <c r="N77" s="66" t="s">
        <v>1228</v>
      </c>
    </row>
    <row r="78" spans="1:14" x14ac:dyDescent="0.25">
      <c r="A78" s="66" t="s">
        <v>1229</v>
      </c>
      <c r="B78" s="10" t="s">
        <v>2064</v>
      </c>
      <c r="C78" s="93">
        <v>0.1125</v>
      </c>
      <c r="D78" s="93" t="s">
        <v>2053</v>
      </c>
      <c r="E78" s="92">
        <f t="shared" si="8"/>
        <v>20.841663500000003</v>
      </c>
      <c r="F78" s="91">
        <f t="shared" si="9"/>
        <v>1.4664418858094947</v>
      </c>
      <c r="G78" s="91">
        <f t="shared" si="11"/>
        <v>1.6424149121066343</v>
      </c>
      <c r="H78" s="90">
        <f t="shared" si="10"/>
        <v>5.2633941538409408</v>
      </c>
      <c r="I78" s="90">
        <f t="shared" si="12"/>
        <v>5.8950014523018543</v>
      </c>
      <c r="J78" s="118">
        <v>320981.33519999898</v>
      </c>
      <c r="K78" s="89">
        <v>4919676.6527000004</v>
      </c>
      <c r="L78" s="89">
        <v>44.40828106</v>
      </c>
      <c r="M78" s="89">
        <v>-95.248181149999894</v>
      </c>
      <c r="N78" s="66" t="s">
        <v>1230</v>
      </c>
    </row>
    <row r="79" spans="1:14" x14ac:dyDescent="0.25">
      <c r="A79" s="66" t="s">
        <v>1233</v>
      </c>
      <c r="B79" s="10" t="s">
        <v>2063</v>
      </c>
      <c r="C79" s="93">
        <v>3.2000000000000001E-2</v>
      </c>
      <c r="D79" s="93" t="s">
        <v>2053</v>
      </c>
      <c r="E79" s="92">
        <f t="shared" si="8"/>
        <v>20.127779840000002</v>
      </c>
      <c r="F79" s="91">
        <f t="shared" si="9"/>
        <v>1.416212262794087</v>
      </c>
      <c r="G79" s="91">
        <f t="shared" si="11"/>
        <v>1.5861577343293776</v>
      </c>
      <c r="H79" s="90">
        <f t="shared" si="10"/>
        <v>5.1935599089626194</v>
      </c>
      <c r="I79" s="90">
        <f t="shared" si="12"/>
        <v>5.8167870980381347</v>
      </c>
      <c r="J79" s="118">
        <v>443504.85359999898</v>
      </c>
      <c r="K79" s="89">
        <v>4865163.4206999904</v>
      </c>
      <c r="L79" s="89">
        <v>43.93745234</v>
      </c>
      <c r="M79" s="89">
        <v>-93.703761740000004</v>
      </c>
      <c r="N79" s="66" t="s">
        <v>1234</v>
      </c>
    </row>
    <row r="80" spans="1:14" x14ac:dyDescent="0.25">
      <c r="A80" s="66" t="s">
        <v>1237</v>
      </c>
      <c r="B80" s="10" t="s">
        <v>2062</v>
      </c>
      <c r="C80" s="93">
        <v>3.5</v>
      </c>
      <c r="D80" s="93" t="s">
        <v>2053</v>
      </c>
      <c r="E80" s="92">
        <f t="shared" si="8"/>
        <v>50.882419999999996</v>
      </c>
      <c r="F80" s="91">
        <f t="shared" si="9"/>
        <v>3.5801418605261879</v>
      </c>
      <c r="G80" s="91">
        <f t="shared" si="11"/>
        <v>4.0097588837893312</v>
      </c>
      <c r="H80" s="90">
        <f t="shared" si="10"/>
        <v>8.2020712286895598</v>
      </c>
      <c r="I80" s="90">
        <f t="shared" si="12"/>
        <v>9.1863197761323079</v>
      </c>
      <c r="J80" s="118">
        <v>453498.25679999898</v>
      </c>
      <c r="K80" s="89">
        <v>4875205.3333999896</v>
      </c>
      <c r="L80" s="89">
        <v>44.028559549999898</v>
      </c>
      <c r="M80" s="89">
        <v>-93.580133369999899</v>
      </c>
      <c r="N80" s="66" t="s">
        <v>1238</v>
      </c>
    </row>
    <row r="81" spans="1:14" x14ac:dyDescent="0.25">
      <c r="A81" s="66" t="s">
        <v>1239</v>
      </c>
      <c r="B81" s="10" t="s">
        <v>2061</v>
      </c>
      <c r="C81" s="93">
        <v>1.262</v>
      </c>
      <c r="D81" s="93" t="s">
        <v>2053</v>
      </c>
      <c r="E81" s="92">
        <f t="shared" si="8"/>
        <v>31.035567440000001</v>
      </c>
      <c r="F81" s="91">
        <f t="shared" si="9"/>
        <v>2.183695943650628</v>
      </c>
      <c r="G81" s="91">
        <f t="shared" si="11"/>
        <v>2.4457394568887034</v>
      </c>
      <c r="H81" s="90">
        <f t="shared" si="10"/>
        <v>6.2605924704574685</v>
      </c>
      <c r="I81" s="90">
        <f t="shared" si="12"/>
        <v>7.011863566912365</v>
      </c>
      <c r="J81" s="118">
        <v>433973.6373</v>
      </c>
      <c r="K81" s="89">
        <v>4980108.1215000004</v>
      </c>
      <c r="L81" s="89">
        <v>44.971373</v>
      </c>
      <c r="M81" s="89">
        <v>-93.83716416</v>
      </c>
      <c r="N81" s="66" t="s">
        <v>1240</v>
      </c>
    </row>
    <row r="82" spans="1:14" x14ac:dyDescent="0.25">
      <c r="A82" s="66" t="s">
        <v>1241</v>
      </c>
      <c r="B82" s="10" t="s">
        <v>2060</v>
      </c>
      <c r="C82" s="93">
        <v>0.4</v>
      </c>
      <c r="D82" s="93" t="s">
        <v>2053</v>
      </c>
      <c r="E82" s="92">
        <f t="shared" si="8"/>
        <v>23.391248000000001</v>
      </c>
      <c r="F82" s="91">
        <f t="shared" si="9"/>
        <v>1.6458333965788081</v>
      </c>
      <c r="G82" s="91">
        <f t="shared" si="11"/>
        <v>1.8433334041682652</v>
      </c>
      <c r="H82" s="90">
        <f t="shared" si="10"/>
        <v>5.5128021712635178</v>
      </c>
      <c r="I82" s="90">
        <f t="shared" si="12"/>
        <v>6.1743384318151406</v>
      </c>
      <c r="J82" s="118">
        <v>455783.311099999</v>
      </c>
      <c r="K82" s="89">
        <v>4896253.6267999904</v>
      </c>
      <c r="L82" s="89">
        <v>44.218196290000002</v>
      </c>
      <c r="M82" s="89">
        <v>-93.553386560000007</v>
      </c>
      <c r="N82" s="66" t="s">
        <v>1242</v>
      </c>
    </row>
    <row r="83" spans="1:14" x14ac:dyDescent="0.25">
      <c r="A83" s="66" t="s">
        <v>1243</v>
      </c>
      <c r="B83" s="10" t="s">
        <v>2059</v>
      </c>
      <c r="C83" s="93">
        <v>0.26</v>
      </c>
      <c r="D83" s="93" t="s">
        <v>2053</v>
      </c>
      <c r="E83" s="92">
        <f t="shared" si="8"/>
        <v>22.149711200000002</v>
      </c>
      <c r="F83" s="91">
        <f t="shared" si="9"/>
        <v>1.5584775304650555</v>
      </c>
      <c r="G83" s="91">
        <f t="shared" si="11"/>
        <v>1.7454948341208625</v>
      </c>
      <c r="H83" s="90">
        <f t="shared" si="10"/>
        <v>5.3913513106055664</v>
      </c>
      <c r="I83" s="90">
        <f t="shared" si="12"/>
        <v>6.0383134678782353</v>
      </c>
      <c r="J83" s="118">
        <v>369747.75900000002</v>
      </c>
      <c r="K83" s="89">
        <v>4837469.2306000004</v>
      </c>
      <c r="L83" s="89">
        <v>43.678844519999899</v>
      </c>
      <c r="M83" s="89">
        <v>-94.61576144</v>
      </c>
      <c r="N83" s="66" t="s">
        <v>1244</v>
      </c>
    </row>
    <row r="84" spans="1:14" x14ac:dyDescent="0.25">
      <c r="A84" s="66" t="s">
        <v>1251</v>
      </c>
      <c r="B84" s="88" t="s">
        <v>2058</v>
      </c>
      <c r="C84" s="93">
        <v>0.47299999999999998</v>
      </c>
      <c r="D84" s="93" t="s">
        <v>2053</v>
      </c>
      <c r="E84" s="92">
        <f t="shared" si="8"/>
        <v>24.038620760000001</v>
      </c>
      <c r="F84" s="91">
        <f t="shared" si="9"/>
        <v>1.6913832410524077</v>
      </c>
      <c r="G84" s="91">
        <f t="shared" si="11"/>
        <v>1.8943492299786968</v>
      </c>
      <c r="H84" s="90">
        <f t="shared" si="10"/>
        <v>5.5761301200351632</v>
      </c>
      <c r="I84" s="90">
        <f t="shared" si="12"/>
        <v>6.2452657344393829</v>
      </c>
      <c r="J84" s="118">
        <v>509042.687299999</v>
      </c>
      <c r="K84" s="89">
        <v>4888845.1900000004</v>
      </c>
      <c r="L84" s="89">
        <v>44.1527817099999</v>
      </c>
      <c r="M84" s="89">
        <v>-92.886767469999896</v>
      </c>
      <c r="N84" s="66" t="s">
        <v>1252</v>
      </c>
    </row>
    <row r="85" spans="1:14" x14ac:dyDescent="0.25">
      <c r="A85" s="66" t="s">
        <v>1253</v>
      </c>
      <c r="B85" s="66" t="s">
        <v>2057</v>
      </c>
      <c r="C85" s="93">
        <v>7.51</v>
      </c>
      <c r="D85" s="93" t="s">
        <v>2053</v>
      </c>
      <c r="E85" s="92">
        <f t="shared" si="8"/>
        <v>86.443581199999983</v>
      </c>
      <c r="F85" s="91">
        <f t="shared" si="9"/>
        <v>6.082263454212959</v>
      </c>
      <c r="G85" s="91">
        <f t="shared" si="11"/>
        <v>6.8121350687185149</v>
      </c>
      <c r="H85" s="90">
        <f t="shared" si="10"/>
        <v>11.680770880392277</v>
      </c>
      <c r="I85" s="90">
        <f t="shared" si="12"/>
        <v>13.082463386039352</v>
      </c>
      <c r="J85" s="118">
        <v>331566.11320000002</v>
      </c>
      <c r="K85" s="89">
        <v>4995782.8465</v>
      </c>
      <c r="L85" s="89">
        <v>45.095478409999899</v>
      </c>
      <c r="M85" s="89">
        <v>-95.140475190000004</v>
      </c>
      <c r="N85" s="66" t="s">
        <v>1254</v>
      </c>
    </row>
    <row r="86" spans="1:14" x14ac:dyDescent="0.25">
      <c r="A86" s="66" t="s">
        <v>1255</v>
      </c>
      <c r="B86" s="66" t="s">
        <v>2056</v>
      </c>
      <c r="C86" s="93">
        <v>1.83</v>
      </c>
      <c r="D86" s="93" t="s">
        <v>2053</v>
      </c>
      <c r="E86" s="92">
        <f t="shared" si="8"/>
        <v>36.072659600000001</v>
      </c>
      <c r="F86" s="91">
        <f t="shared" si="9"/>
        <v>2.5381111718835672</v>
      </c>
      <c r="G86" s="91">
        <f t="shared" si="11"/>
        <v>2.8426845125095954</v>
      </c>
      <c r="H86" s="90">
        <f t="shared" si="10"/>
        <v>6.7533359622697233</v>
      </c>
      <c r="I86" s="90">
        <f t="shared" si="12"/>
        <v>7.5637362777420911</v>
      </c>
      <c r="J86" s="118">
        <v>330475.72759999899</v>
      </c>
      <c r="K86" s="89">
        <v>4858444.0230999896</v>
      </c>
      <c r="L86" s="89">
        <v>43.859648030000002</v>
      </c>
      <c r="M86" s="89">
        <v>-95.10931051</v>
      </c>
      <c r="N86" s="66" t="s">
        <v>1256</v>
      </c>
    </row>
    <row r="87" spans="1:14" x14ac:dyDescent="0.25">
      <c r="A87" s="66" t="s">
        <v>1257</v>
      </c>
      <c r="B87" s="66" t="s">
        <v>2055</v>
      </c>
      <c r="C87" s="93">
        <v>1.7</v>
      </c>
      <c r="D87" s="93" t="s">
        <v>2053</v>
      </c>
      <c r="E87" s="92">
        <f t="shared" si="8"/>
        <v>34.919803999999999</v>
      </c>
      <c r="F87" s="91">
        <f t="shared" si="9"/>
        <v>2.4569950104922254</v>
      </c>
      <c r="G87" s="91">
        <f t="shared" si="11"/>
        <v>2.7518344117512927</v>
      </c>
      <c r="H87" s="90">
        <f t="shared" si="10"/>
        <v>6.6405601630873416</v>
      </c>
      <c r="I87" s="90">
        <f t="shared" si="12"/>
        <v>7.4374273826578232</v>
      </c>
      <c r="J87" s="118">
        <v>403881.23719999898</v>
      </c>
      <c r="K87" s="89">
        <v>4847026.7525000004</v>
      </c>
      <c r="L87" s="89">
        <v>43.770082899999899</v>
      </c>
      <c r="M87" s="89">
        <v>-94.194114799999895</v>
      </c>
      <c r="N87" s="66" t="s">
        <v>1258</v>
      </c>
    </row>
    <row r="88" spans="1:14" x14ac:dyDescent="0.25">
      <c r="A88" s="66" t="s">
        <v>1259</v>
      </c>
      <c r="B88" s="66" t="s">
        <v>2054</v>
      </c>
      <c r="C88" s="93">
        <v>0.34799999999999998</v>
      </c>
      <c r="D88" s="93" t="s">
        <v>2053</v>
      </c>
      <c r="E88" s="92">
        <f t="shared" si="8"/>
        <v>22.93010576</v>
      </c>
      <c r="F88" s="91">
        <f t="shared" si="9"/>
        <v>1.6133869320222713</v>
      </c>
      <c r="G88" s="91">
        <f t="shared" si="11"/>
        <v>1.806993363864944</v>
      </c>
      <c r="H88" s="90">
        <f t="shared" si="10"/>
        <v>5.4676918515905637</v>
      </c>
      <c r="I88" s="90">
        <f t="shared" si="12"/>
        <v>6.1238148737814315</v>
      </c>
      <c r="J88" s="118">
        <v>393798.34940000001</v>
      </c>
      <c r="K88" s="89">
        <v>4932304.1072000004</v>
      </c>
      <c r="L88" s="89">
        <v>44.536273270000002</v>
      </c>
      <c r="M88" s="89">
        <v>-94.336579970000003</v>
      </c>
      <c r="N88" s="66" t="s">
        <v>1260</v>
      </c>
    </row>
    <row r="89" spans="1:14" x14ac:dyDescent="0.25">
      <c r="A89" s="66" t="s">
        <v>1263</v>
      </c>
      <c r="B89" s="66" t="s">
        <v>2052</v>
      </c>
      <c r="C89" s="93">
        <v>4</v>
      </c>
      <c r="D89" s="93" t="s">
        <v>2053</v>
      </c>
      <c r="E89" s="92">
        <f t="shared" si="8"/>
        <v>55.316479999999999</v>
      </c>
      <c r="F89" s="91">
        <f t="shared" si="9"/>
        <v>3.8921270966467332</v>
      </c>
      <c r="G89" s="91">
        <f t="shared" si="11"/>
        <v>4.3591823482443415</v>
      </c>
      <c r="H89" s="90">
        <f t="shared" si="10"/>
        <v>8.6358243024679542</v>
      </c>
      <c r="I89" s="90">
        <f t="shared" si="12"/>
        <v>9.67212321876411</v>
      </c>
      <c r="J89" s="118">
        <v>292051.22210000001</v>
      </c>
      <c r="K89" s="89">
        <v>4835583.2860000003</v>
      </c>
      <c r="L89" s="89">
        <v>43.644200179999899</v>
      </c>
      <c r="M89" s="89">
        <v>-95.57815909</v>
      </c>
      <c r="N89" s="66" t="s">
        <v>1262</v>
      </c>
    </row>
  </sheetData>
  <sheetProtection sheet="1" objects="1" scenarios="1"/>
  <pageMargins left="0.7" right="0.7" top="0.75" bottom="0.75" header="0.3" footer="0.3"/>
  <pageSetup orientation="portrait" verticalDpi="0" r:id="rId1"/>
  <ignoredErrors>
    <ignoredError sqref="H2:H3"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2EA00-B838-46C2-9EF2-9E479FDF22F8}">
  <sheetPr codeName="Sheet12"/>
  <dimension ref="A1:J60"/>
  <sheetViews>
    <sheetView showGridLines="0" zoomScaleNormal="100" workbookViewId="0">
      <selection activeCell="D9" sqref="D9"/>
    </sheetView>
  </sheetViews>
  <sheetFormatPr defaultColWidth="9.140625" defaultRowHeight="14.25" x14ac:dyDescent="0.2"/>
  <cols>
    <col min="1" max="1" width="51" style="44" bestFit="1" customWidth="1"/>
    <col min="2" max="2" width="9.140625" style="44"/>
    <col min="3" max="3" width="31.42578125" style="44" customWidth="1"/>
    <col min="4" max="4" width="46" style="44" customWidth="1"/>
    <col min="5" max="16384" width="9.140625" style="44"/>
  </cols>
  <sheetData>
    <row r="1" spans="1:10" ht="29.25" customHeight="1" thickBot="1" x14ac:dyDescent="0.35">
      <c r="A1" s="229" t="s">
        <v>2192</v>
      </c>
      <c r="B1" s="229"/>
      <c r="C1" s="229"/>
      <c r="D1" s="229"/>
      <c r="E1" s="100"/>
      <c r="F1" s="100"/>
      <c r="G1" s="100"/>
      <c r="H1" s="100"/>
      <c r="I1" s="100"/>
      <c r="J1" s="100"/>
    </row>
    <row r="2" spans="1:10" s="212" customFormat="1" ht="39" customHeight="1" x14ac:dyDescent="0.2">
      <c r="A2" s="267" t="s">
        <v>2191</v>
      </c>
      <c r="B2" s="267"/>
      <c r="C2" s="267"/>
      <c r="D2" s="267"/>
      <c r="E2" s="187"/>
      <c r="F2" s="187"/>
      <c r="G2" s="187"/>
      <c r="H2" s="187"/>
      <c r="I2" s="187"/>
      <c r="J2" s="187"/>
    </row>
    <row r="3" spans="1:10" s="212" customFormat="1" ht="21" customHeight="1" x14ac:dyDescent="0.2">
      <c r="A3" s="267" t="s">
        <v>2190</v>
      </c>
      <c r="B3" s="267"/>
      <c r="C3" s="267"/>
      <c r="D3" s="267"/>
      <c r="E3" s="187"/>
      <c r="F3" s="187"/>
      <c r="G3" s="187"/>
      <c r="H3" s="187"/>
      <c r="I3" s="187"/>
      <c r="J3" s="187"/>
    </row>
    <row r="4" spans="1:10" s="211" customFormat="1" ht="66" customHeight="1" x14ac:dyDescent="0.25">
      <c r="A4" s="239" t="s">
        <v>2570</v>
      </c>
      <c r="B4" s="239"/>
      <c r="C4" s="239"/>
      <c r="D4" s="239"/>
      <c r="E4" s="210"/>
      <c r="F4" s="210"/>
      <c r="G4" s="210"/>
      <c r="H4" s="210"/>
      <c r="I4" s="210"/>
      <c r="J4" s="210"/>
    </row>
    <row r="5" spans="1:10" ht="15.75" x14ac:dyDescent="0.25">
      <c r="A5" s="145" t="s">
        <v>2189</v>
      </c>
      <c r="D5" s="145" t="s">
        <v>2188</v>
      </c>
    </row>
    <row r="7" spans="1:10" x14ac:dyDescent="0.2">
      <c r="A7" s="128" t="s">
        <v>2187</v>
      </c>
      <c r="B7" s="35"/>
      <c r="C7" s="35"/>
      <c r="D7" s="35"/>
    </row>
    <row r="8" spans="1:10" ht="15" thickBot="1" x14ac:dyDescent="0.25">
      <c r="A8" s="128"/>
      <c r="B8" s="35"/>
      <c r="C8" s="35"/>
      <c r="D8" s="35"/>
    </row>
    <row r="9" spans="1:10" ht="15" thickBot="1" x14ac:dyDescent="0.25">
      <c r="A9" s="185" t="s">
        <v>2186</v>
      </c>
      <c r="B9" s="35"/>
      <c r="C9" s="213"/>
      <c r="D9" s="127"/>
    </row>
    <row r="10" spans="1:10" ht="15" thickBot="1" x14ac:dyDescent="0.25">
      <c r="A10" s="185" t="s">
        <v>2185</v>
      </c>
      <c r="B10" s="35"/>
      <c r="C10" s="213"/>
      <c r="D10" s="127"/>
    </row>
    <row r="11" spans="1:10" x14ac:dyDescent="0.2">
      <c r="A11" s="185" t="s">
        <v>2184</v>
      </c>
      <c r="B11" s="35"/>
      <c r="C11" s="214" t="str">
        <f>IF(C10="","",C9/C10)</f>
        <v/>
      </c>
      <c r="D11" s="35"/>
    </row>
    <row r="12" spans="1:10" x14ac:dyDescent="0.2">
      <c r="A12" s="185"/>
      <c r="B12" s="35"/>
      <c r="C12" s="35"/>
      <c r="D12" s="35"/>
    </row>
    <row r="13" spans="1:10" x14ac:dyDescent="0.2">
      <c r="A13" s="185" t="s">
        <v>2183</v>
      </c>
      <c r="B13" s="35"/>
      <c r="C13" s="215">
        <f>IF(D13="",1-'Interface - Substantial impacts'!$I$53,D13)</f>
        <v>1</v>
      </c>
      <c r="D13" s="127"/>
    </row>
    <row r="14" spans="1:10" x14ac:dyDescent="0.2">
      <c r="A14" s="185" t="s">
        <v>2182</v>
      </c>
      <c r="B14" s="35"/>
      <c r="C14" s="216">
        <f>Calculations!$F$38*C13</f>
        <v>0</v>
      </c>
      <c r="D14" s="127"/>
    </row>
    <row r="15" spans="1:10" x14ac:dyDescent="0.2">
      <c r="A15" s="185"/>
      <c r="B15" s="35"/>
      <c r="C15" s="35"/>
      <c r="D15" s="35"/>
    </row>
    <row r="16" spans="1:10" x14ac:dyDescent="0.2">
      <c r="A16" s="185" t="s">
        <v>2181</v>
      </c>
      <c r="B16" s="35"/>
      <c r="C16" s="217" t="str">
        <f>IF(C10="","",(C9-C14)/C10)</f>
        <v/>
      </c>
      <c r="D16" s="127"/>
    </row>
    <row r="17" spans="1:4" ht="15" thickBot="1" x14ac:dyDescent="0.25">
      <c r="A17" s="185"/>
      <c r="B17" s="35"/>
      <c r="C17" s="35"/>
      <c r="D17" s="35"/>
    </row>
    <row r="18" spans="1:4" x14ac:dyDescent="0.2">
      <c r="A18" s="185" t="s">
        <v>2180</v>
      </c>
      <c r="B18" s="35"/>
      <c r="C18" s="218"/>
      <c r="D18" s="127"/>
    </row>
    <row r="19" spans="1:4" x14ac:dyDescent="0.2">
      <c r="A19" s="185" t="s">
        <v>2151</v>
      </c>
      <c r="B19" s="35"/>
      <c r="C19" s="219" t="str">
        <f>IF(C16="","",IF(C18="","",IF(C16&gt;C18,"Firm continues to perform better than most firms in its industry","Firm may perform worse than most firms in its industry after compliance costs")))</f>
        <v/>
      </c>
      <c r="D19" s="127"/>
    </row>
    <row r="21" spans="1:4" ht="15.75" x14ac:dyDescent="0.25">
      <c r="A21" s="99" t="s">
        <v>2179</v>
      </c>
    </row>
    <row r="22" spans="1:4" ht="15.75" x14ac:dyDescent="0.25">
      <c r="A22" s="99"/>
    </row>
    <row r="23" spans="1:4" x14ac:dyDescent="0.2">
      <c r="A23" s="128" t="s">
        <v>2178</v>
      </c>
      <c r="B23" s="35"/>
      <c r="C23" s="35"/>
      <c r="D23" s="35"/>
    </row>
    <row r="24" spans="1:4" ht="15" thickBot="1" x14ac:dyDescent="0.25">
      <c r="A24" s="220" t="s">
        <v>2177</v>
      </c>
      <c r="B24" s="35"/>
      <c r="C24" s="35"/>
      <c r="D24" s="35"/>
    </row>
    <row r="25" spans="1:4" ht="15" thickBot="1" x14ac:dyDescent="0.25">
      <c r="A25" s="185" t="s">
        <v>2176</v>
      </c>
      <c r="B25" s="35"/>
      <c r="C25" s="213"/>
      <c r="D25" s="127"/>
    </row>
    <row r="26" spans="1:4" ht="15" thickBot="1" x14ac:dyDescent="0.25">
      <c r="A26" s="185" t="s">
        <v>2175</v>
      </c>
      <c r="B26" s="35"/>
      <c r="C26" s="221"/>
      <c r="D26" s="127"/>
    </row>
    <row r="27" spans="1:4" ht="15" thickBot="1" x14ac:dyDescent="0.25">
      <c r="A27" s="185" t="s">
        <v>2174</v>
      </c>
      <c r="B27" s="35"/>
      <c r="C27" s="213"/>
      <c r="D27" s="127"/>
    </row>
    <row r="28" spans="1:4" ht="15" thickBot="1" x14ac:dyDescent="0.25">
      <c r="A28" s="185" t="s">
        <v>2173</v>
      </c>
      <c r="B28" s="35"/>
      <c r="C28" s="221"/>
      <c r="D28" s="127"/>
    </row>
    <row r="29" spans="1:4" ht="15" thickBot="1" x14ac:dyDescent="0.25">
      <c r="A29" s="185" t="s">
        <v>2172</v>
      </c>
      <c r="B29" s="35"/>
      <c r="C29" s="213"/>
      <c r="D29" s="127"/>
    </row>
    <row r="30" spans="1:4" ht="15" thickBot="1" x14ac:dyDescent="0.25">
      <c r="A30" s="185" t="s">
        <v>2171</v>
      </c>
      <c r="B30" s="35"/>
      <c r="C30" s="221"/>
      <c r="D30" s="127"/>
    </row>
    <row r="31" spans="1:4" x14ac:dyDescent="0.2">
      <c r="A31" s="185" t="s">
        <v>2170</v>
      </c>
      <c r="B31" s="35"/>
      <c r="C31" s="218"/>
      <c r="D31" s="127"/>
    </row>
    <row r="32" spans="1:4" x14ac:dyDescent="0.2">
      <c r="A32" s="185" t="s">
        <v>2162</v>
      </c>
      <c r="B32" s="35"/>
      <c r="C32" s="127">
        <f>SUM(C25:C31)</f>
        <v>0</v>
      </c>
      <c r="D32" s="127"/>
    </row>
    <row r="33" spans="1:4" x14ac:dyDescent="0.2">
      <c r="A33" s="185"/>
      <c r="B33" s="35"/>
      <c r="C33" s="35"/>
      <c r="D33" s="35"/>
    </row>
    <row r="34" spans="1:4" ht="15" thickBot="1" x14ac:dyDescent="0.25">
      <c r="A34" s="222" t="s">
        <v>2169</v>
      </c>
      <c r="B34" s="35"/>
      <c r="C34" s="35"/>
      <c r="D34" s="35"/>
    </row>
    <row r="35" spans="1:4" ht="15" thickBot="1" x14ac:dyDescent="0.25">
      <c r="A35" s="185" t="s">
        <v>2168</v>
      </c>
      <c r="B35" s="35"/>
      <c r="C35" s="213"/>
      <c r="D35" s="127"/>
    </row>
    <row r="36" spans="1:4" ht="15" thickBot="1" x14ac:dyDescent="0.25">
      <c r="A36" s="185" t="s">
        <v>2167</v>
      </c>
      <c r="B36" s="35"/>
      <c r="C36" s="221"/>
      <c r="D36" s="127"/>
    </row>
    <row r="37" spans="1:4" ht="15" thickBot="1" x14ac:dyDescent="0.25">
      <c r="A37" s="185" t="s">
        <v>2166</v>
      </c>
      <c r="B37" s="35"/>
      <c r="C37" s="213"/>
      <c r="D37" s="127"/>
    </row>
    <row r="38" spans="1:4" ht="15" thickBot="1" x14ac:dyDescent="0.25">
      <c r="A38" s="185" t="s">
        <v>2165</v>
      </c>
      <c r="B38" s="35"/>
      <c r="C38" s="221"/>
      <c r="D38" s="127"/>
    </row>
    <row r="39" spans="1:4" ht="15" thickBot="1" x14ac:dyDescent="0.25">
      <c r="A39" s="185" t="s">
        <v>2164</v>
      </c>
      <c r="B39" s="35"/>
      <c r="C39" s="223"/>
      <c r="D39" s="127"/>
    </row>
    <row r="40" spans="1:4" x14ac:dyDescent="0.2">
      <c r="A40" s="185" t="s">
        <v>2163</v>
      </c>
      <c r="B40" s="35"/>
      <c r="C40" s="224"/>
      <c r="D40" s="127"/>
    </row>
    <row r="41" spans="1:4" x14ac:dyDescent="0.2">
      <c r="A41" s="185" t="s">
        <v>2162</v>
      </c>
      <c r="B41" s="35"/>
      <c r="C41" s="127">
        <f>SUM(C35:C40)</f>
        <v>0</v>
      </c>
      <c r="D41" s="127"/>
    </row>
    <row r="42" spans="1:4" x14ac:dyDescent="0.2">
      <c r="A42" s="225"/>
      <c r="B42" s="35"/>
      <c r="C42" s="35"/>
      <c r="D42" s="35"/>
    </row>
    <row r="43" spans="1:4" x14ac:dyDescent="0.2">
      <c r="A43" s="185" t="s">
        <v>2161</v>
      </c>
      <c r="B43" s="35"/>
      <c r="C43" s="35" t="str">
        <f>IF(C41=0,"",C32/C41)</f>
        <v/>
      </c>
      <c r="D43" s="35"/>
    </row>
    <row r="44" spans="1:4" x14ac:dyDescent="0.2">
      <c r="A44" s="185" t="s">
        <v>2151</v>
      </c>
      <c r="B44" s="35"/>
      <c r="C44" s="219" t="str">
        <f>IF(C43="","",IF(C43&gt;2,"Healthy liquidity - able to cover short term costs","Some difficulty covering short term costs"))</f>
        <v/>
      </c>
      <c r="D44" s="127"/>
    </row>
    <row r="45" spans="1:4" x14ac:dyDescent="0.2">
      <c r="A45" s="97"/>
    </row>
    <row r="46" spans="1:4" x14ac:dyDescent="0.2">
      <c r="A46" s="128" t="s">
        <v>2160</v>
      </c>
      <c r="B46" s="35"/>
      <c r="C46" s="35"/>
      <c r="D46" s="35"/>
    </row>
    <row r="47" spans="1:4" ht="15" thickBot="1" x14ac:dyDescent="0.25">
      <c r="A47" s="35"/>
      <c r="B47" s="35"/>
      <c r="C47" s="35"/>
      <c r="D47" s="35"/>
    </row>
    <row r="48" spans="1:4" ht="15" thickBot="1" x14ac:dyDescent="0.25">
      <c r="A48" s="185" t="s">
        <v>2159</v>
      </c>
      <c r="B48" s="35"/>
      <c r="C48" s="213"/>
      <c r="D48" s="127"/>
    </row>
    <row r="49" spans="1:4" x14ac:dyDescent="0.2">
      <c r="A49" s="185" t="s">
        <v>2158</v>
      </c>
      <c r="B49" s="35"/>
      <c r="C49" s="218"/>
      <c r="D49" s="127"/>
    </row>
    <row r="50" spans="1:4" x14ac:dyDescent="0.2">
      <c r="A50" s="185" t="s">
        <v>2157</v>
      </c>
      <c r="B50" s="35"/>
      <c r="C50" s="127" t="str">
        <f>IF(C49="","",C48/C49)</f>
        <v/>
      </c>
      <c r="D50" s="127"/>
    </row>
    <row r="51" spans="1:4" x14ac:dyDescent="0.2">
      <c r="A51" s="185" t="s">
        <v>2151</v>
      </c>
      <c r="B51" s="35"/>
      <c r="C51" s="127" t="str">
        <f>IF(C50="","",IF(C50&gt;0.2,"The firm is considered solvent",IF(C50&lt;0.15,"The firm may be insolvent","Future solvency is uncertain")))</f>
        <v/>
      </c>
      <c r="D51" s="127"/>
    </row>
    <row r="52" spans="1:4" x14ac:dyDescent="0.2">
      <c r="A52" s="35"/>
      <c r="B52" s="35"/>
      <c r="C52" s="35"/>
      <c r="D52" s="35"/>
    </row>
    <row r="53" spans="1:4" ht="15.75" x14ac:dyDescent="0.25">
      <c r="A53" s="145" t="s">
        <v>2156</v>
      </c>
      <c r="B53" s="35"/>
      <c r="C53" s="35"/>
      <c r="D53" s="35"/>
    </row>
    <row r="54" spans="1:4" ht="15" thickBot="1" x14ac:dyDescent="0.25">
      <c r="A54" s="35"/>
      <c r="B54" s="35"/>
      <c r="C54" s="35"/>
      <c r="D54" s="35"/>
    </row>
    <row r="55" spans="1:4" ht="15" thickBot="1" x14ac:dyDescent="0.25">
      <c r="A55" s="185" t="s">
        <v>2155</v>
      </c>
      <c r="B55" s="35"/>
      <c r="C55" s="213"/>
      <c r="D55" s="127"/>
    </row>
    <row r="56" spans="1:4" x14ac:dyDescent="0.2">
      <c r="A56" s="185" t="s">
        <v>2154</v>
      </c>
      <c r="B56" s="35"/>
      <c r="C56" s="218"/>
      <c r="D56" s="127"/>
    </row>
    <row r="57" spans="1:4" x14ac:dyDescent="0.2">
      <c r="A57" s="185" t="s">
        <v>2153</v>
      </c>
      <c r="B57" s="35"/>
      <c r="C57" s="226" t="str">
        <f>IF(C56="","",C55/C56)</f>
        <v/>
      </c>
      <c r="D57" s="127"/>
    </row>
    <row r="58" spans="1:4" x14ac:dyDescent="0.2">
      <c r="A58" s="185" t="s">
        <v>2152</v>
      </c>
      <c r="B58" s="35"/>
      <c r="C58" s="226"/>
      <c r="D58" s="127"/>
    </row>
    <row r="59" spans="1:4" x14ac:dyDescent="0.2">
      <c r="A59" s="185" t="s">
        <v>2151</v>
      </c>
      <c r="B59" s="35"/>
      <c r="C59" s="227" t="str">
        <f>IF(C57="","",IF(C58="","",IF(C57&lt;C58,"Firm continues to perform better than most firms in its industry","Firm may perform worse than most firms in its industry after compliance costs")))</f>
        <v/>
      </c>
      <c r="D59" s="127"/>
    </row>
    <row r="60" spans="1:4" x14ac:dyDescent="0.2">
      <c r="A60" s="35"/>
      <c r="B60" s="35"/>
      <c r="C60" s="35"/>
      <c r="D60" s="35"/>
    </row>
  </sheetData>
  <mergeCells count="4">
    <mergeCell ref="A1:D1"/>
    <mergeCell ref="A2:D2"/>
    <mergeCell ref="A3:D3"/>
    <mergeCell ref="A4:D4"/>
  </mergeCells>
  <pageMargins left="0.45" right="0.45" top="0.5" bottom="0.5" header="0.3" footer="0.3"/>
  <pageSetup scale="70" orientation="portrait" r:id="rId1"/>
  <headerFooter>
    <oddFooter>&amp;L&amp;"Arial,Italic"&amp;9wq-wwprm2-17  •  8/7/24&amp;C&amp;"Arial,Italic"&amp;9 https://www.pca.state.mn.us  •  Available in alternative formats
651-296-6300  •  800-657-3864  •  Use your preferred relay service&amp;R&amp;"Arial,Italic"&amp;9Page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79C37-CD44-4445-BB22-49334A5F88C5}">
  <sheetPr>
    <pageSetUpPr fitToPage="1"/>
  </sheetPr>
  <dimension ref="A1:L18"/>
  <sheetViews>
    <sheetView workbookViewId="0">
      <selection activeCell="L6" sqref="L6"/>
    </sheetView>
  </sheetViews>
  <sheetFormatPr defaultRowHeight="15" x14ac:dyDescent="0.25"/>
  <cols>
    <col min="1" max="11" width="9.140625" style="176"/>
    <col min="12" max="12" width="10.140625" style="176" bestFit="1" customWidth="1"/>
    <col min="13" max="267" width="9.140625" style="176"/>
    <col min="268" max="268" width="9.5703125" style="176" bestFit="1" customWidth="1"/>
    <col min="269" max="523" width="9.140625" style="176"/>
    <col min="524" max="524" width="9.5703125" style="176" bestFit="1" customWidth="1"/>
    <col min="525" max="779" width="9.140625" style="176"/>
    <col min="780" max="780" width="9.5703125" style="176" bestFit="1" customWidth="1"/>
    <col min="781" max="1035" width="9.140625" style="176"/>
    <col min="1036" max="1036" width="9.5703125" style="176" bestFit="1" customWidth="1"/>
    <col min="1037" max="1291" width="9.140625" style="176"/>
    <col min="1292" max="1292" width="9.5703125" style="176" bestFit="1" customWidth="1"/>
    <col min="1293" max="1547" width="9.140625" style="176"/>
    <col min="1548" max="1548" width="9.5703125" style="176" bestFit="1" customWidth="1"/>
    <col min="1549" max="1803" width="9.140625" style="176"/>
    <col min="1804" max="1804" width="9.5703125" style="176" bestFit="1" customWidth="1"/>
    <col min="1805" max="2059" width="9.140625" style="176"/>
    <col min="2060" max="2060" width="9.5703125" style="176" bestFit="1" customWidth="1"/>
    <col min="2061" max="2315" width="9.140625" style="176"/>
    <col min="2316" max="2316" width="9.5703125" style="176" bestFit="1" customWidth="1"/>
    <col min="2317" max="2571" width="9.140625" style="176"/>
    <col min="2572" max="2572" width="9.5703125" style="176" bestFit="1" customWidth="1"/>
    <col min="2573" max="2827" width="9.140625" style="176"/>
    <col min="2828" max="2828" width="9.5703125" style="176" bestFit="1" customWidth="1"/>
    <col min="2829" max="3083" width="9.140625" style="176"/>
    <col min="3084" max="3084" width="9.5703125" style="176" bestFit="1" customWidth="1"/>
    <col min="3085" max="3339" width="9.140625" style="176"/>
    <col min="3340" max="3340" width="9.5703125" style="176" bestFit="1" customWidth="1"/>
    <col min="3341" max="3595" width="9.140625" style="176"/>
    <col min="3596" max="3596" width="9.5703125" style="176" bestFit="1" customWidth="1"/>
    <col min="3597" max="3851" width="9.140625" style="176"/>
    <col min="3852" max="3852" width="9.5703125" style="176" bestFit="1" customWidth="1"/>
    <col min="3853" max="4107" width="9.140625" style="176"/>
    <col min="4108" max="4108" width="9.5703125" style="176" bestFit="1" customWidth="1"/>
    <col min="4109" max="4363" width="9.140625" style="176"/>
    <col min="4364" max="4364" width="9.5703125" style="176" bestFit="1" customWidth="1"/>
    <col min="4365" max="4619" width="9.140625" style="176"/>
    <col min="4620" max="4620" width="9.5703125" style="176" bestFit="1" customWidth="1"/>
    <col min="4621" max="4875" width="9.140625" style="176"/>
    <col min="4876" max="4876" width="9.5703125" style="176" bestFit="1" customWidth="1"/>
    <col min="4877" max="5131" width="9.140625" style="176"/>
    <col min="5132" max="5132" width="9.5703125" style="176" bestFit="1" customWidth="1"/>
    <col min="5133" max="5387" width="9.140625" style="176"/>
    <col min="5388" max="5388" width="9.5703125" style="176" bestFit="1" customWidth="1"/>
    <col min="5389" max="5643" width="9.140625" style="176"/>
    <col min="5644" max="5644" width="9.5703125" style="176" bestFit="1" customWidth="1"/>
    <col min="5645" max="5899" width="9.140625" style="176"/>
    <col min="5900" max="5900" width="9.5703125" style="176" bestFit="1" customWidth="1"/>
    <col min="5901" max="6155" width="9.140625" style="176"/>
    <col min="6156" max="6156" width="9.5703125" style="176" bestFit="1" customWidth="1"/>
    <col min="6157" max="6411" width="9.140625" style="176"/>
    <col min="6412" max="6412" width="9.5703125" style="176" bestFit="1" customWidth="1"/>
    <col min="6413" max="6667" width="9.140625" style="176"/>
    <col min="6668" max="6668" width="9.5703125" style="176" bestFit="1" customWidth="1"/>
    <col min="6669" max="6923" width="9.140625" style="176"/>
    <col min="6924" max="6924" width="9.5703125" style="176" bestFit="1" customWidth="1"/>
    <col min="6925" max="7179" width="9.140625" style="176"/>
    <col min="7180" max="7180" width="9.5703125" style="176" bestFit="1" customWidth="1"/>
    <col min="7181" max="7435" width="9.140625" style="176"/>
    <col min="7436" max="7436" width="9.5703125" style="176" bestFit="1" customWidth="1"/>
    <col min="7437" max="7691" width="9.140625" style="176"/>
    <col min="7692" max="7692" width="9.5703125" style="176" bestFit="1" customWidth="1"/>
    <col min="7693" max="7947" width="9.140625" style="176"/>
    <col min="7948" max="7948" width="9.5703125" style="176" bestFit="1" customWidth="1"/>
    <col min="7949" max="8203" width="9.140625" style="176"/>
    <col min="8204" max="8204" width="9.5703125" style="176" bestFit="1" customWidth="1"/>
    <col min="8205" max="8459" width="9.140625" style="176"/>
    <col min="8460" max="8460" width="9.5703125" style="176" bestFit="1" customWidth="1"/>
    <col min="8461" max="8715" width="9.140625" style="176"/>
    <col min="8716" max="8716" width="9.5703125" style="176" bestFit="1" customWidth="1"/>
    <col min="8717" max="8971" width="9.140625" style="176"/>
    <col min="8972" max="8972" width="9.5703125" style="176" bestFit="1" customWidth="1"/>
    <col min="8973" max="9227" width="9.140625" style="176"/>
    <col min="9228" max="9228" width="9.5703125" style="176" bestFit="1" customWidth="1"/>
    <col min="9229" max="9483" width="9.140625" style="176"/>
    <col min="9484" max="9484" width="9.5703125" style="176" bestFit="1" customWidth="1"/>
    <col min="9485" max="9739" width="9.140625" style="176"/>
    <col min="9740" max="9740" width="9.5703125" style="176" bestFit="1" customWidth="1"/>
    <col min="9741" max="9995" width="9.140625" style="176"/>
    <col min="9996" max="9996" width="9.5703125" style="176" bestFit="1" customWidth="1"/>
    <col min="9997" max="10251" width="9.140625" style="176"/>
    <col min="10252" max="10252" width="9.5703125" style="176" bestFit="1" customWidth="1"/>
    <col min="10253" max="10507" width="9.140625" style="176"/>
    <col min="10508" max="10508" width="9.5703125" style="176" bestFit="1" customWidth="1"/>
    <col min="10509" max="10763" width="9.140625" style="176"/>
    <col min="10764" max="10764" width="9.5703125" style="176" bestFit="1" customWidth="1"/>
    <col min="10765" max="11019" width="9.140625" style="176"/>
    <col min="11020" max="11020" width="9.5703125" style="176" bestFit="1" customWidth="1"/>
    <col min="11021" max="11275" width="9.140625" style="176"/>
    <col min="11276" max="11276" width="9.5703125" style="176" bestFit="1" customWidth="1"/>
    <col min="11277" max="11531" width="9.140625" style="176"/>
    <col min="11532" max="11532" width="9.5703125" style="176" bestFit="1" customWidth="1"/>
    <col min="11533" max="11787" width="9.140625" style="176"/>
    <col min="11788" max="11788" width="9.5703125" style="176" bestFit="1" customWidth="1"/>
    <col min="11789" max="12043" width="9.140625" style="176"/>
    <col min="12044" max="12044" width="9.5703125" style="176" bestFit="1" customWidth="1"/>
    <col min="12045" max="12299" width="9.140625" style="176"/>
    <col min="12300" max="12300" width="9.5703125" style="176" bestFit="1" customWidth="1"/>
    <col min="12301" max="12555" width="9.140625" style="176"/>
    <col min="12556" max="12556" width="9.5703125" style="176" bestFit="1" customWidth="1"/>
    <col min="12557" max="12811" width="9.140625" style="176"/>
    <col min="12812" max="12812" width="9.5703125" style="176" bestFit="1" customWidth="1"/>
    <col min="12813" max="13067" width="9.140625" style="176"/>
    <col min="13068" max="13068" width="9.5703125" style="176" bestFit="1" customWidth="1"/>
    <col min="13069" max="13323" width="9.140625" style="176"/>
    <col min="13324" max="13324" width="9.5703125" style="176" bestFit="1" customWidth="1"/>
    <col min="13325" max="13579" width="9.140625" style="176"/>
    <col min="13580" max="13580" width="9.5703125" style="176" bestFit="1" customWidth="1"/>
    <col min="13581" max="13835" width="9.140625" style="176"/>
    <col min="13836" max="13836" width="9.5703125" style="176" bestFit="1" customWidth="1"/>
    <col min="13837" max="14091" width="9.140625" style="176"/>
    <col min="14092" max="14092" width="9.5703125" style="176" bestFit="1" customWidth="1"/>
    <col min="14093" max="14347" width="9.140625" style="176"/>
    <col min="14348" max="14348" width="9.5703125" style="176" bestFit="1" customWidth="1"/>
    <col min="14349" max="14603" width="9.140625" style="176"/>
    <col min="14604" max="14604" width="9.5703125" style="176" bestFit="1" customWidth="1"/>
    <col min="14605" max="14859" width="9.140625" style="176"/>
    <col min="14860" max="14860" width="9.5703125" style="176" bestFit="1" customWidth="1"/>
    <col min="14861" max="15115" width="9.140625" style="176"/>
    <col min="15116" max="15116" width="9.5703125" style="176" bestFit="1" customWidth="1"/>
    <col min="15117" max="15371" width="9.140625" style="176"/>
    <col min="15372" max="15372" width="9.5703125" style="176" bestFit="1" customWidth="1"/>
    <col min="15373" max="15627" width="9.140625" style="176"/>
    <col min="15628" max="15628" width="9.5703125" style="176" bestFit="1" customWidth="1"/>
    <col min="15629" max="15883" width="9.140625" style="176"/>
    <col min="15884" max="15884" width="9.5703125" style="176" bestFit="1" customWidth="1"/>
    <col min="15885" max="16139" width="9.140625" style="176"/>
    <col min="16140" max="16140" width="9.5703125" style="176" bestFit="1" customWidth="1"/>
    <col min="16141" max="16384" width="9.140625" style="176"/>
  </cols>
  <sheetData>
    <row r="1" spans="1:12" ht="18.75" x14ac:dyDescent="0.3">
      <c r="B1" s="279" t="s">
        <v>2556</v>
      </c>
      <c r="C1" s="280"/>
      <c r="D1" s="280"/>
      <c r="E1" s="280"/>
      <c r="F1" s="280"/>
      <c r="G1" s="280"/>
      <c r="H1" s="280"/>
      <c r="I1" s="280"/>
    </row>
    <row r="2" spans="1:12" ht="96" customHeight="1" x14ac:dyDescent="0.25">
      <c r="B2" s="281" t="s">
        <v>2557</v>
      </c>
      <c r="C2" s="282"/>
      <c r="D2" s="282"/>
      <c r="E2" s="282"/>
      <c r="F2" s="282"/>
      <c r="G2" s="282"/>
      <c r="H2" s="282"/>
      <c r="I2" s="282"/>
    </row>
    <row r="6" spans="1:12" x14ac:dyDescent="0.25">
      <c r="A6" s="241" t="s">
        <v>2558</v>
      </c>
      <c r="B6" s="241"/>
      <c r="C6" s="241"/>
      <c r="D6" s="241"/>
      <c r="E6" s="241"/>
      <c r="F6" s="241"/>
      <c r="G6" s="241"/>
      <c r="H6" s="241"/>
      <c r="I6" s="241"/>
      <c r="J6" s="241"/>
      <c r="K6" s="128"/>
      <c r="L6" s="189">
        <f>VLOOKUP('Interface - Substantial impacts'!$I$14,'Municipal screener data'!A:J,8,FALSE)</f>
        <v>0.35515548281505727</v>
      </c>
    </row>
    <row r="7" spans="1:12" ht="39.75" customHeight="1" x14ac:dyDescent="0.25">
      <c r="A7" s="35"/>
      <c r="B7" s="277" t="s">
        <v>2571</v>
      </c>
      <c r="C7" s="277"/>
      <c r="D7" s="277"/>
      <c r="E7" s="277"/>
      <c r="F7" s="277"/>
      <c r="G7" s="277"/>
      <c r="H7" s="277"/>
      <c r="I7" s="277"/>
      <c r="J7" s="277"/>
      <c r="K7" s="277"/>
      <c r="L7" s="188"/>
    </row>
    <row r="8" spans="1:12" x14ac:dyDescent="0.25">
      <c r="A8" s="44"/>
      <c r="B8" s="44"/>
      <c r="C8" s="44"/>
      <c r="D8" s="44"/>
      <c r="E8" s="44"/>
      <c r="F8" s="44"/>
      <c r="G8" s="44"/>
      <c r="H8" s="44"/>
      <c r="I8" s="44"/>
      <c r="J8" s="44"/>
      <c r="K8" s="44"/>
    </row>
    <row r="9" spans="1:12" ht="30.75" customHeight="1" x14ac:dyDescent="0.25">
      <c r="A9" s="44"/>
      <c r="B9" s="278" t="s">
        <v>2559</v>
      </c>
      <c r="C9" s="278"/>
      <c r="D9" s="278"/>
      <c r="E9" s="278"/>
      <c r="F9" s="278"/>
      <c r="G9" s="278"/>
      <c r="H9" s="278"/>
      <c r="I9" s="278"/>
      <c r="J9" s="278"/>
      <c r="K9" s="187"/>
    </row>
    <row r="11" spans="1:12" ht="15.75" thickBot="1" x14ac:dyDescent="0.3"/>
    <row r="12" spans="1:12" x14ac:dyDescent="0.25">
      <c r="B12" s="268" t="s">
        <v>2560</v>
      </c>
      <c r="C12" s="269"/>
      <c r="D12" s="269"/>
      <c r="E12" s="269"/>
      <c r="F12" s="269"/>
      <c r="G12" s="269"/>
      <c r="H12" s="269"/>
      <c r="I12" s="269"/>
      <c r="J12" s="270"/>
    </row>
    <row r="13" spans="1:12" x14ac:dyDescent="0.25">
      <c r="B13" s="271"/>
      <c r="C13" s="272"/>
      <c r="D13" s="272"/>
      <c r="E13" s="272"/>
      <c r="F13" s="272"/>
      <c r="G13" s="272"/>
      <c r="H13" s="272"/>
      <c r="I13" s="272"/>
      <c r="J13" s="273"/>
    </row>
    <row r="14" spans="1:12" x14ac:dyDescent="0.25">
      <c r="B14" s="271"/>
      <c r="C14" s="272"/>
      <c r="D14" s="272"/>
      <c r="E14" s="272"/>
      <c r="F14" s="272"/>
      <c r="G14" s="272"/>
      <c r="H14" s="272"/>
      <c r="I14" s="272"/>
      <c r="J14" s="273"/>
    </row>
    <row r="15" spans="1:12" x14ac:dyDescent="0.25">
      <c r="B15" s="271"/>
      <c r="C15" s="272"/>
      <c r="D15" s="272"/>
      <c r="E15" s="272"/>
      <c r="F15" s="272"/>
      <c r="G15" s="272"/>
      <c r="H15" s="272"/>
      <c r="I15" s="272"/>
      <c r="J15" s="273"/>
    </row>
    <row r="16" spans="1:12" x14ac:dyDescent="0.25">
      <c r="B16" s="271"/>
      <c r="C16" s="272"/>
      <c r="D16" s="272"/>
      <c r="E16" s="272"/>
      <c r="F16" s="272"/>
      <c r="G16" s="272"/>
      <c r="H16" s="272"/>
      <c r="I16" s="272"/>
      <c r="J16" s="273"/>
    </row>
    <row r="17" spans="2:10" x14ac:dyDescent="0.25">
      <c r="B17" s="271"/>
      <c r="C17" s="272"/>
      <c r="D17" s="272"/>
      <c r="E17" s="272"/>
      <c r="F17" s="272"/>
      <c r="G17" s="272"/>
      <c r="H17" s="272"/>
      <c r="I17" s="272"/>
      <c r="J17" s="273"/>
    </row>
    <row r="18" spans="2:10" ht="15.75" thickBot="1" x14ac:dyDescent="0.3">
      <c r="B18" s="274"/>
      <c r="C18" s="275"/>
      <c r="D18" s="275"/>
      <c r="E18" s="275"/>
      <c r="F18" s="275"/>
      <c r="G18" s="275"/>
      <c r="H18" s="275"/>
      <c r="I18" s="275"/>
      <c r="J18" s="276"/>
    </row>
  </sheetData>
  <mergeCells count="6">
    <mergeCell ref="B12:J18"/>
    <mergeCell ref="A6:J6"/>
    <mergeCell ref="B7:K7"/>
    <mergeCell ref="B9:J9"/>
    <mergeCell ref="B1:I1"/>
    <mergeCell ref="B2:I2"/>
  </mergeCells>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D6C81-6AD8-47F6-9008-EB36E37AD8A4}">
  <sheetPr codeName="Sheet3"/>
  <dimension ref="A1:M46"/>
  <sheetViews>
    <sheetView showGridLines="0" zoomScaleNormal="100" workbookViewId="0">
      <selection activeCell="C3" sqref="C3:D3"/>
    </sheetView>
  </sheetViews>
  <sheetFormatPr defaultRowHeight="14.25" x14ac:dyDescent="0.2"/>
  <cols>
    <col min="1" max="1" width="7.42578125" style="44" customWidth="1"/>
    <col min="2" max="2" width="27.85546875" style="44" bestFit="1" customWidth="1"/>
    <col min="3" max="3" width="23.42578125" style="44" customWidth="1"/>
    <col min="4" max="4" width="25.5703125" style="44" customWidth="1"/>
    <col min="5" max="5" width="21.85546875" style="44" customWidth="1"/>
    <col min="6" max="6" width="9.140625" style="44"/>
    <col min="7" max="7" width="7.42578125" style="44" customWidth="1"/>
    <col min="8" max="8" width="15.85546875" style="44" customWidth="1"/>
    <col min="9" max="9" width="12.28515625" style="44" customWidth="1"/>
    <col min="10" max="10" width="9.140625" style="44" customWidth="1"/>
    <col min="11" max="11" width="32.140625" style="44" customWidth="1"/>
    <col min="12" max="256" width="9.140625" style="44"/>
    <col min="257" max="257" width="7.42578125" style="44" customWidth="1"/>
    <col min="258" max="258" width="27.85546875" style="44" bestFit="1" customWidth="1"/>
    <col min="259" max="259" width="23.42578125" style="44" customWidth="1"/>
    <col min="260" max="260" width="25.5703125" style="44" customWidth="1"/>
    <col min="261" max="261" width="21.85546875" style="44" customWidth="1"/>
    <col min="262" max="262" width="9.140625" style="44"/>
    <col min="263" max="263" width="7.42578125" style="44" customWidth="1"/>
    <col min="264" max="264" width="15.85546875" style="44" customWidth="1"/>
    <col min="265" max="265" width="12.28515625" style="44" customWidth="1"/>
    <col min="266" max="266" width="9.140625" style="44"/>
    <col min="267" max="267" width="32.140625" style="44" customWidth="1"/>
    <col min="268" max="512" width="9.140625" style="44"/>
    <col min="513" max="513" width="7.42578125" style="44" customWidth="1"/>
    <col min="514" max="514" width="27.85546875" style="44" bestFit="1" customWidth="1"/>
    <col min="515" max="515" width="23.42578125" style="44" customWidth="1"/>
    <col min="516" max="516" width="25.5703125" style="44" customWidth="1"/>
    <col min="517" max="517" width="21.85546875" style="44" customWidth="1"/>
    <col min="518" max="518" width="9.140625" style="44"/>
    <col min="519" max="519" width="7.42578125" style="44" customWidth="1"/>
    <col min="520" max="520" width="15.85546875" style="44" customWidth="1"/>
    <col min="521" max="521" width="12.28515625" style="44" customWidth="1"/>
    <col min="522" max="522" width="9.140625" style="44"/>
    <col min="523" max="523" width="32.140625" style="44" customWidth="1"/>
    <col min="524" max="768" width="9.140625" style="44"/>
    <col min="769" max="769" width="7.42578125" style="44" customWidth="1"/>
    <col min="770" max="770" width="27.85546875" style="44" bestFit="1" customWidth="1"/>
    <col min="771" max="771" width="23.42578125" style="44" customWidth="1"/>
    <col min="772" max="772" width="25.5703125" style="44" customWidth="1"/>
    <col min="773" max="773" width="21.85546875" style="44" customWidth="1"/>
    <col min="774" max="774" width="9.140625" style="44"/>
    <col min="775" max="775" width="7.42578125" style="44" customWidth="1"/>
    <col min="776" max="776" width="15.85546875" style="44" customWidth="1"/>
    <col min="777" max="777" width="12.28515625" style="44" customWidth="1"/>
    <col min="778" max="778" width="9.140625" style="44"/>
    <col min="779" max="779" width="32.140625" style="44" customWidth="1"/>
    <col min="780" max="1024" width="9.140625" style="44"/>
    <col min="1025" max="1025" width="7.42578125" style="44" customWidth="1"/>
    <col min="1026" max="1026" width="27.85546875" style="44" bestFit="1" customWidth="1"/>
    <col min="1027" max="1027" width="23.42578125" style="44" customWidth="1"/>
    <col min="1028" max="1028" width="25.5703125" style="44" customWidth="1"/>
    <col min="1029" max="1029" width="21.85546875" style="44" customWidth="1"/>
    <col min="1030" max="1030" width="9.140625" style="44"/>
    <col min="1031" max="1031" width="7.42578125" style="44" customWidth="1"/>
    <col min="1032" max="1032" width="15.85546875" style="44" customWidth="1"/>
    <col min="1033" max="1033" width="12.28515625" style="44" customWidth="1"/>
    <col min="1034" max="1034" width="9.140625" style="44"/>
    <col min="1035" max="1035" width="32.140625" style="44" customWidth="1"/>
    <col min="1036" max="1280" width="9.140625" style="44"/>
    <col min="1281" max="1281" width="7.42578125" style="44" customWidth="1"/>
    <col min="1282" max="1282" width="27.85546875" style="44" bestFit="1" customWidth="1"/>
    <col min="1283" max="1283" width="23.42578125" style="44" customWidth="1"/>
    <col min="1284" max="1284" width="25.5703125" style="44" customWidth="1"/>
    <col min="1285" max="1285" width="21.85546875" style="44" customWidth="1"/>
    <col min="1286" max="1286" width="9.140625" style="44"/>
    <col min="1287" max="1287" width="7.42578125" style="44" customWidth="1"/>
    <col min="1288" max="1288" width="15.85546875" style="44" customWidth="1"/>
    <col min="1289" max="1289" width="12.28515625" style="44" customWidth="1"/>
    <col min="1290" max="1290" width="9.140625" style="44"/>
    <col min="1291" max="1291" width="32.140625" style="44" customWidth="1"/>
    <col min="1292" max="1536" width="9.140625" style="44"/>
    <col min="1537" max="1537" width="7.42578125" style="44" customWidth="1"/>
    <col min="1538" max="1538" width="27.85546875" style="44" bestFit="1" customWidth="1"/>
    <col min="1539" max="1539" width="23.42578125" style="44" customWidth="1"/>
    <col min="1540" max="1540" width="25.5703125" style="44" customWidth="1"/>
    <col min="1541" max="1541" width="21.85546875" style="44" customWidth="1"/>
    <col min="1542" max="1542" width="9.140625" style="44"/>
    <col min="1543" max="1543" width="7.42578125" style="44" customWidth="1"/>
    <col min="1544" max="1544" width="15.85546875" style="44" customWidth="1"/>
    <col min="1545" max="1545" width="12.28515625" style="44" customWidth="1"/>
    <col min="1546" max="1546" width="9.140625" style="44"/>
    <col min="1547" max="1547" width="32.140625" style="44" customWidth="1"/>
    <col min="1548" max="1792" width="9.140625" style="44"/>
    <col min="1793" max="1793" width="7.42578125" style="44" customWidth="1"/>
    <col min="1794" max="1794" width="27.85546875" style="44" bestFit="1" customWidth="1"/>
    <col min="1795" max="1795" width="23.42578125" style="44" customWidth="1"/>
    <col min="1796" max="1796" width="25.5703125" style="44" customWidth="1"/>
    <col min="1797" max="1797" width="21.85546875" style="44" customWidth="1"/>
    <col min="1798" max="1798" width="9.140625" style="44"/>
    <col min="1799" max="1799" width="7.42578125" style="44" customWidth="1"/>
    <col min="1800" max="1800" width="15.85546875" style="44" customWidth="1"/>
    <col min="1801" max="1801" width="12.28515625" style="44" customWidth="1"/>
    <col min="1802" max="1802" width="9.140625" style="44"/>
    <col min="1803" max="1803" width="32.140625" style="44" customWidth="1"/>
    <col min="1804" max="2048" width="9.140625" style="44"/>
    <col min="2049" max="2049" width="7.42578125" style="44" customWidth="1"/>
    <col min="2050" max="2050" width="27.85546875" style="44" bestFit="1" customWidth="1"/>
    <col min="2051" max="2051" width="23.42578125" style="44" customWidth="1"/>
    <col min="2052" max="2052" width="25.5703125" style="44" customWidth="1"/>
    <col min="2053" max="2053" width="21.85546875" style="44" customWidth="1"/>
    <col min="2054" max="2054" width="9.140625" style="44"/>
    <col min="2055" max="2055" width="7.42578125" style="44" customWidth="1"/>
    <col min="2056" max="2056" width="15.85546875" style="44" customWidth="1"/>
    <col min="2057" max="2057" width="12.28515625" style="44" customWidth="1"/>
    <col min="2058" max="2058" width="9.140625" style="44"/>
    <col min="2059" max="2059" width="32.140625" style="44" customWidth="1"/>
    <col min="2060" max="2304" width="9.140625" style="44"/>
    <col min="2305" max="2305" width="7.42578125" style="44" customWidth="1"/>
    <col min="2306" max="2306" width="27.85546875" style="44" bestFit="1" customWidth="1"/>
    <col min="2307" max="2307" width="23.42578125" style="44" customWidth="1"/>
    <col min="2308" max="2308" width="25.5703125" style="44" customWidth="1"/>
    <col min="2309" max="2309" width="21.85546875" style="44" customWidth="1"/>
    <col min="2310" max="2310" width="9.140625" style="44"/>
    <col min="2311" max="2311" width="7.42578125" style="44" customWidth="1"/>
    <col min="2312" max="2312" width="15.85546875" style="44" customWidth="1"/>
    <col min="2313" max="2313" width="12.28515625" style="44" customWidth="1"/>
    <col min="2314" max="2314" width="9.140625" style="44"/>
    <col min="2315" max="2315" width="32.140625" style="44" customWidth="1"/>
    <col min="2316" max="2560" width="9.140625" style="44"/>
    <col min="2561" max="2561" width="7.42578125" style="44" customWidth="1"/>
    <col min="2562" max="2562" width="27.85546875" style="44" bestFit="1" customWidth="1"/>
    <col min="2563" max="2563" width="23.42578125" style="44" customWidth="1"/>
    <col min="2564" max="2564" width="25.5703125" style="44" customWidth="1"/>
    <col min="2565" max="2565" width="21.85546875" style="44" customWidth="1"/>
    <col min="2566" max="2566" width="9.140625" style="44"/>
    <col min="2567" max="2567" width="7.42578125" style="44" customWidth="1"/>
    <col min="2568" max="2568" width="15.85546875" style="44" customWidth="1"/>
    <col min="2569" max="2569" width="12.28515625" style="44" customWidth="1"/>
    <col min="2570" max="2570" width="9.140625" style="44"/>
    <col min="2571" max="2571" width="32.140625" style="44" customWidth="1"/>
    <col min="2572" max="2816" width="9.140625" style="44"/>
    <col min="2817" max="2817" width="7.42578125" style="44" customWidth="1"/>
    <col min="2818" max="2818" width="27.85546875" style="44" bestFit="1" customWidth="1"/>
    <col min="2819" max="2819" width="23.42578125" style="44" customWidth="1"/>
    <col min="2820" max="2820" width="25.5703125" style="44" customWidth="1"/>
    <col min="2821" max="2821" width="21.85546875" style="44" customWidth="1"/>
    <col min="2822" max="2822" width="9.140625" style="44"/>
    <col min="2823" max="2823" width="7.42578125" style="44" customWidth="1"/>
    <col min="2824" max="2824" width="15.85546875" style="44" customWidth="1"/>
    <col min="2825" max="2825" width="12.28515625" style="44" customWidth="1"/>
    <col min="2826" max="2826" width="9.140625" style="44"/>
    <col min="2827" max="2827" width="32.140625" style="44" customWidth="1"/>
    <col min="2828" max="3072" width="9.140625" style="44"/>
    <col min="3073" max="3073" width="7.42578125" style="44" customWidth="1"/>
    <col min="3074" max="3074" width="27.85546875" style="44" bestFit="1" customWidth="1"/>
    <col min="3075" max="3075" width="23.42578125" style="44" customWidth="1"/>
    <col min="3076" max="3076" width="25.5703125" style="44" customWidth="1"/>
    <col min="3077" max="3077" width="21.85546875" style="44" customWidth="1"/>
    <col min="3078" max="3078" width="9.140625" style="44"/>
    <col min="3079" max="3079" width="7.42578125" style="44" customWidth="1"/>
    <col min="3080" max="3080" width="15.85546875" style="44" customWidth="1"/>
    <col min="3081" max="3081" width="12.28515625" style="44" customWidth="1"/>
    <col min="3082" max="3082" width="9.140625" style="44"/>
    <col min="3083" max="3083" width="32.140625" style="44" customWidth="1"/>
    <col min="3084" max="3328" width="9.140625" style="44"/>
    <col min="3329" max="3329" width="7.42578125" style="44" customWidth="1"/>
    <col min="3330" max="3330" width="27.85546875" style="44" bestFit="1" customWidth="1"/>
    <col min="3331" max="3331" width="23.42578125" style="44" customWidth="1"/>
    <col min="3332" max="3332" width="25.5703125" style="44" customWidth="1"/>
    <col min="3333" max="3333" width="21.85546875" style="44" customWidth="1"/>
    <col min="3334" max="3334" width="9.140625" style="44"/>
    <col min="3335" max="3335" width="7.42578125" style="44" customWidth="1"/>
    <col min="3336" max="3336" width="15.85546875" style="44" customWidth="1"/>
    <col min="3337" max="3337" width="12.28515625" style="44" customWidth="1"/>
    <col min="3338" max="3338" width="9.140625" style="44"/>
    <col min="3339" max="3339" width="32.140625" style="44" customWidth="1"/>
    <col min="3340" max="3584" width="9.140625" style="44"/>
    <col min="3585" max="3585" width="7.42578125" style="44" customWidth="1"/>
    <col min="3586" max="3586" width="27.85546875" style="44" bestFit="1" customWidth="1"/>
    <col min="3587" max="3587" width="23.42578125" style="44" customWidth="1"/>
    <col min="3588" max="3588" width="25.5703125" style="44" customWidth="1"/>
    <col min="3589" max="3589" width="21.85546875" style="44" customWidth="1"/>
    <col min="3590" max="3590" width="9.140625" style="44"/>
    <col min="3591" max="3591" width="7.42578125" style="44" customWidth="1"/>
    <col min="3592" max="3592" width="15.85546875" style="44" customWidth="1"/>
    <col min="3593" max="3593" width="12.28515625" style="44" customWidth="1"/>
    <col min="3594" max="3594" width="9.140625" style="44"/>
    <col min="3595" max="3595" width="32.140625" style="44" customWidth="1"/>
    <col min="3596" max="3840" width="9.140625" style="44"/>
    <col min="3841" max="3841" width="7.42578125" style="44" customWidth="1"/>
    <col min="3842" max="3842" width="27.85546875" style="44" bestFit="1" customWidth="1"/>
    <col min="3843" max="3843" width="23.42578125" style="44" customWidth="1"/>
    <col min="3844" max="3844" width="25.5703125" style="44" customWidth="1"/>
    <col min="3845" max="3845" width="21.85546875" style="44" customWidth="1"/>
    <col min="3846" max="3846" width="9.140625" style="44"/>
    <col min="3847" max="3847" width="7.42578125" style="44" customWidth="1"/>
    <col min="3848" max="3848" width="15.85546875" style="44" customWidth="1"/>
    <col min="3849" max="3849" width="12.28515625" style="44" customWidth="1"/>
    <col min="3850" max="3850" width="9.140625" style="44"/>
    <col min="3851" max="3851" width="32.140625" style="44" customWidth="1"/>
    <col min="3852" max="4096" width="9.140625" style="44"/>
    <col min="4097" max="4097" width="7.42578125" style="44" customWidth="1"/>
    <col min="4098" max="4098" width="27.85546875" style="44" bestFit="1" customWidth="1"/>
    <col min="4099" max="4099" width="23.42578125" style="44" customWidth="1"/>
    <col min="4100" max="4100" width="25.5703125" style="44" customWidth="1"/>
    <col min="4101" max="4101" width="21.85546875" style="44" customWidth="1"/>
    <col min="4102" max="4102" width="9.140625" style="44"/>
    <col min="4103" max="4103" width="7.42578125" style="44" customWidth="1"/>
    <col min="4104" max="4104" width="15.85546875" style="44" customWidth="1"/>
    <col min="4105" max="4105" width="12.28515625" style="44" customWidth="1"/>
    <col min="4106" max="4106" width="9.140625" style="44"/>
    <col min="4107" max="4107" width="32.140625" style="44" customWidth="1"/>
    <col min="4108" max="4352" width="9.140625" style="44"/>
    <col min="4353" max="4353" width="7.42578125" style="44" customWidth="1"/>
    <col min="4354" max="4354" width="27.85546875" style="44" bestFit="1" customWidth="1"/>
    <col min="4355" max="4355" width="23.42578125" style="44" customWidth="1"/>
    <col min="4356" max="4356" width="25.5703125" style="44" customWidth="1"/>
    <col min="4357" max="4357" width="21.85546875" style="44" customWidth="1"/>
    <col min="4358" max="4358" width="9.140625" style="44"/>
    <col min="4359" max="4359" width="7.42578125" style="44" customWidth="1"/>
    <col min="4360" max="4360" width="15.85546875" style="44" customWidth="1"/>
    <col min="4361" max="4361" width="12.28515625" style="44" customWidth="1"/>
    <col min="4362" max="4362" width="9.140625" style="44"/>
    <col min="4363" max="4363" width="32.140625" style="44" customWidth="1"/>
    <col min="4364" max="4608" width="9.140625" style="44"/>
    <col min="4609" max="4609" width="7.42578125" style="44" customWidth="1"/>
    <col min="4610" max="4610" width="27.85546875" style="44" bestFit="1" customWidth="1"/>
    <col min="4611" max="4611" width="23.42578125" style="44" customWidth="1"/>
    <col min="4612" max="4612" width="25.5703125" style="44" customWidth="1"/>
    <col min="4613" max="4613" width="21.85546875" style="44" customWidth="1"/>
    <col min="4614" max="4614" width="9.140625" style="44"/>
    <col min="4615" max="4615" width="7.42578125" style="44" customWidth="1"/>
    <col min="4616" max="4616" width="15.85546875" style="44" customWidth="1"/>
    <col min="4617" max="4617" width="12.28515625" style="44" customWidth="1"/>
    <col min="4618" max="4618" width="9.140625" style="44"/>
    <col min="4619" max="4619" width="32.140625" style="44" customWidth="1"/>
    <col min="4620" max="4864" width="9.140625" style="44"/>
    <col min="4865" max="4865" width="7.42578125" style="44" customWidth="1"/>
    <col min="4866" max="4866" width="27.85546875" style="44" bestFit="1" customWidth="1"/>
    <col min="4867" max="4867" width="23.42578125" style="44" customWidth="1"/>
    <col min="4868" max="4868" width="25.5703125" style="44" customWidth="1"/>
    <col min="4869" max="4869" width="21.85546875" style="44" customWidth="1"/>
    <col min="4870" max="4870" width="9.140625" style="44"/>
    <col min="4871" max="4871" width="7.42578125" style="44" customWidth="1"/>
    <col min="4872" max="4872" width="15.85546875" style="44" customWidth="1"/>
    <col min="4873" max="4873" width="12.28515625" style="44" customWidth="1"/>
    <col min="4874" max="4874" width="9.140625" style="44"/>
    <col min="4875" max="4875" width="32.140625" style="44" customWidth="1"/>
    <col min="4876" max="5120" width="9.140625" style="44"/>
    <col min="5121" max="5121" width="7.42578125" style="44" customWidth="1"/>
    <col min="5122" max="5122" width="27.85546875" style="44" bestFit="1" customWidth="1"/>
    <col min="5123" max="5123" width="23.42578125" style="44" customWidth="1"/>
    <col min="5124" max="5124" width="25.5703125" style="44" customWidth="1"/>
    <col min="5125" max="5125" width="21.85546875" style="44" customWidth="1"/>
    <col min="5126" max="5126" width="9.140625" style="44"/>
    <col min="5127" max="5127" width="7.42578125" style="44" customWidth="1"/>
    <col min="5128" max="5128" width="15.85546875" style="44" customWidth="1"/>
    <col min="5129" max="5129" width="12.28515625" style="44" customWidth="1"/>
    <col min="5130" max="5130" width="9.140625" style="44"/>
    <col min="5131" max="5131" width="32.140625" style="44" customWidth="1"/>
    <col min="5132" max="5376" width="9.140625" style="44"/>
    <col min="5377" max="5377" width="7.42578125" style="44" customWidth="1"/>
    <col min="5378" max="5378" width="27.85546875" style="44" bestFit="1" customWidth="1"/>
    <col min="5379" max="5379" width="23.42578125" style="44" customWidth="1"/>
    <col min="5380" max="5380" width="25.5703125" style="44" customWidth="1"/>
    <col min="5381" max="5381" width="21.85546875" style="44" customWidth="1"/>
    <col min="5382" max="5382" width="9.140625" style="44"/>
    <col min="5383" max="5383" width="7.42578125" style="44" customWidth="1"/>
    <col min="5384" max="5384" width="15.85546875" style="44" customWidth="1"/>
    <col min="5385" max="5385" width="12.28515625" style="44" customWidth="1"/>
    <col min="5386" max="5386" width="9.140625" style="44"/>
    <col min="5387" max="5387" width="32.140625" style="44" customWidth="1"/>
    <col min="5388" max="5632" width="9.140625" style="44"/>
    <col min="5633" max="5633" width="7.42578125" style="44" customWidth="1"/>
    <col min="5634" max="5634" width="27.85546875" style="44" bestFit="1" customWidth="1"/>
    <col min="5635" max="5635" width="23.42578125" style="44" customWidth="1"/>
    <col min="5636" max="5636" width="25.5703125" style="44" customWidth="1"/>
    <col min="5637" max="5637" width="21.85546875" style="44" customWidth="1"/>
    <col min="5638" max="5638" width="9.140625" style="44"/>
    <col min="5639" max="5639" width="7.42578125" style="44" customWidth="1"/>
    <col min="5640" max="5640" width="15.85546875" style="44" customWidth="1"/>
    <col min="5641" max="5641" width="12.28515625" style="44" customWidth="1"/>
    <col min="5642" max="5642" width="9.140625" style="44"/>
    <col min="5643" max="5643" width="32.140625" style="44" customWidth="1"/>
    <col min="5644" max="5888" width="9.140625" style="44"/>
    <col min="5889" max="5889" width="7.42578125" style="44" customWidth="1"/>
    <col min="5890" max="5890" width="27.85546875" style="44" bestFit="1" customWidth="1"/>
    <col min="5891" max="5891" width="23.42578125" style="44" customWidth="1"/>
    <col min="5892" max="5892" width="25.5703125" style="44" customWidth="1"/>
    <col min="5893" max="5893" width="21.85546875" style="44" customWidth="1"/>
    <col min="5894" max="5894" width="9.140625" style="44"/>
    <col min="5895" max="5895" width="7.42578125" style="44" customWidth="1"/>
    <col min="5896" max="5896" width="15.85546875" style="44" customWidth="1"/>
    <col min="5897" max="5897" width="12.28515625" style="44" customWidth="1"/>
    <col min="5898" max="5898" width="9.140625" style="44"/>
    <col min="5899" max="5899" width="32.140625" style="44" customWidth="1"/>
    <col min="5900" max="6144" width="9.140625" style="44"/>
    <col min="6145" max="6145" width="7.42578125" style="44" customWidth="1"/>
    <col min="6146" max="6146" width="27.85546875" style="44" bestFit="1" customWidth="1"/>
    <col min="6147" max="6147" width="23.42578125" style="44" customWidth="1"/>
    <col min="6148" max="6148" width="25.5703125" style="44" customWidth="1"/>
    <col min="6149" max="6149" width="21.85546875" style="44" customWidth="1"/>
    <col min="6150" max="6150" width="9.140625" style="44"/>
    <col min="6151" max="6151" width="7.42578125" style="44" customWidth="1"/>
    <col min="6152" max="6152" width="15.85546875" style="44" customWidth="1"/>
    <col min="6153" max="6153" width="12.28515625" style="44" customWidth="1"/>
    <col min="6154" max="6154" width="9.140625" style="44"/>
    <col min="6155" max="6155" width="32.140625" style="44" customWidth="1"/>
    <col min="6156" max="6400" width="9.140625" style="44"/>
    <col min="6401" max="6401" width="7.42578125" style="44" customWidth="1"/>
    <col min="6402" max="6402" width="27.85546875" style="44" bestFit="1" customWidth="1"/>
    <col min="6403" max="6403" width="23.42578125" style="44" customWidth="1"/>
    <col min="6404" max="6404" width="25.5703125" style="44" customWidth="1"/>
    <col min="6405" max="6405" width="21.85546875" style="44" customWidth="1"/>
    <col min="6406" max="6406" width="9.140625" style="44"/>
    <col min="6407" max="6407" width="7.42578125" style="44" customWidth="1"/>
    <col min="6408" max="6408" width="15.85546875" style="44" customWidth="1"/>
    <col min="6409" max="6409" width="12.28515625" style="44" customWidth="1"/>
    <col min="6410" max="6410" width="9.140625" style="44"/>
    <col min="6411" max="6411" width="32.140625" style="44" customWidth="1"/>
    <col min="6412" max="6656" width="9.140625" style="44"/>
    <col min="6657" max="6657" width="7.42578125" style="44" customWidth="1"/>
    <col min="6658" max="6658" width="27.85546875" style="44" bestFit="1" customWidth="1"/>
    <col min="6659" max="6659" width="23.42578125" style="44" customWidth="1"/>
    <col min="6660" max="6660" width="25.5703125" style="44" customWidth="1"/>
    <col min="6661" max="6661" width="21.85546875" style="44" customWidth="1"/>
    <col min="6662" max="6662" width="9.140625" style="44"/>
    <col min="6663" max="6663" width="7.42578125" style="44" customWidth="1"/>
    <col min="6664" max="6664" width="15.85546875" style="44" customWidth="1"/>
    <col min="6665" max="6665" width="12.28515625" style="44" customWidth="1"/>
    <col min="6666" max="6666" width="9.140625" style="44"/>
    <col min="6667" max="6667" width="32.140625" style="44" customWidth="1"/>
    <col min="6668" max="6912" width="9.140625" style="44"/>
    <col min="6913" max="6913" width="7.42578125" style="44" customWidth="1"/>
    <col min="6914" max="6914" width="27.85546875" style="44" bestFit="1" customWidth="1"/>
    <col min="6915" max="6915" width="23.42578125" style="44" customWidth="1"/>
    <col min="6916" max="6916" width="25.5703125" style="44" customWidth="1"/>
    <col min="6917" max="6917" width="21.85546875" style="44" customWidth="1"/>
    <col min="6918" max="6918" width="9.140625" style="44"/>
    <col min="6919" max="6919" width="7.42578125" style="44" customWidth="1"/>
    <col min="6920" max="6920" width="15.85546875" style="44" customWidth="1"/>
    <col min="6921" max="6921" width="12.28515625" style="44" customWidth="1"/>
    <col min="6922" max="6922" width="9.140625" style="44"/>
    <col min="6923" max="6923" width="32.140625" style="44" customWidth="1"/>
    <col min="6924" max="7168" width="9.140625" style="44"/>
    <col min="7169" max="7169" width="7.42578125" style="44" customWidth="1"/>
    <col min="7170" max="7170" width="27.85546875" style="44" bestFit="1" customWidth="1"/>
    <col min="7171" max="7171" width="23.42578125" style="44" customWidth="1"/>
    <col min="7172" max="7172" width="25.5703125" style="44" customWidth="1"/>
    <col min="7173" max="7173" width="21.85546875" style="44" customWidth="1"/>
    <col min="7174" max="7174" width="9.140625" style="44"/>
    <col min="7175" max="7175" width="7.42578125" style="44" customWidth="1"/>
    <col min="7176" max="7176" width="15.85546875" style="44" customWidth="1"/>
    <col min="7177" max="7177" width="12.28515625" style="44" customWidth="1"/>
    <col min="7178" max="7178" width="9.140625" style="44"/>
    <col min="7179" max="7179" width="32.140625" style="44" customWidth="1"/>
    <col min="7180" max="7424" width="9.140625" style="44"/>
    <col min="7425" max="7425" width="7.42578125" style="44" customWidth="1"/>
    <col min="7426" max="7426" width="27.85546875" style="44" bestFit="1" customWidth="1"/>
    <col min="7427" max="7427" width="23.42578125" style="44" customWidth="1"/>
    <col min="7428" max="7428" width="25.5703125" style="44" customWidth="1"/>
    <col min="7429" max="7429" width="21.85546875" style="44" customWidth="1"/>
    <col min="7430" max="7430" width="9.140625" style="44"/>
    <col min="7431" max="7431" width="7.42578125" style="44" customWidth="1"/>
    <col min="7432" max="7432" width="15.85546875" style="44" customWidth="1"/>
    <col min="7433" max="7433" width="12.28515625" style="44" customWidth="1"/>
    <col min="7434" max="7434" width="9.140625" style="44"/>
    <col min="7435" max="7435" width="32.140625" style="44" customWidth="1"/>
    <col min="7436" max="7680" width="9.140625" style="44"/>
    <col min="7681" max="7681" width="7.42578125" style="44" customWidth="1"/>
    <col min="7682" max="7682" width="27.85546875" style="44" bestFit="1" customWidth="1"/>
    <col min="7683" max="7683" width="23.42578125" style="44" customWidth="1"/>
    <col min="7684" max="7684" width="25.5703125" style="44" customWidth="1"/>
    <col min="7685" max="7685" width="21.85546875" style="44" customWidth="1"/>
    <col min="7686" max="7686" width="9.140625" style="44"/>
    <col min="7687" max="7687" width="7.42578125" style="44" customWidth="1"/>
    <col min="7688" max="7688" width="15.85546875" style="44" customWidth="1"/>
    <col min="7689" max="7689" width="12.28515625" style="44" customWidth="1"/>
    <col min="7690" max="7690" width="9.140625" style="44"/>
    <col min="7691" max="7691" width="32.140625" style="44" customWidth="1"/>
    <col min="7692" max="7936" width="9.140625" style="44"/>
    <col min="7937" max="7937" width="7.42578125" style="44" customWidth="1"/>
    <col min="7938" max="7938" width="27.85546875" style="44" bestFit="1" customWidth="1"/>
    <col min="7939" max="7939" width="23.42578125" style="44" customWidth="1"/>
    <col min="7940" max="7940" width="25.5703125" style="44" customWidth="1"/>
    <col min="7941" max="7941" width="21.85546875" style="44" customWidth="1"/>
    <col min="7942" max="7942" width="9.140625" style="44"/>
    <col min="7943" max="7943" width="7.42578125" style="44" customWidth="1"/>
    <col min="7944" max="7944" width="15.85546875" style="44" customWidth="1"/>
    <col min="7945" max="7945" width="12.28515625" style="44" customWidth="1"/>
    <col min="7946" max="7946" width="9.140625" style="44"/>
    <col min="7947" max="7947" width="32.140625" style="44" customWidth="1"/>
    <col min="7948" max="8192" width="9.140625" style="44"/>
    <col min="8193" max="8193" width="7.42578125" style="44" customWidth="1"/>
    <col min="8194" max="8194" width="27.85546875" style="44" bestFit="1" customWidth="1"/>
    <col min="8195" max="8195" width="23.42578125" style="44" customWidth="1"/>
    <col min="8196" max="8196" width="25.5703125" style="44" customWidth="1"/>
    <col min="8197" max="8197" width="21.85546875" style="44" customWidth="1"/>
    <col min="8198" max="8198" width="9.140625" style="44"/>
    <col min="8199" max="8199" width="7.42578125" style="44" customWidth="1"/>
    <col min="8200" max="8200" width="15.85546875" style="44" customWidth="1"/>
    <col min="8201" max="8201" width="12.28515625" style="44" customWidth="1"/>
    <col min="8202" max="8202" width="9.140625" style="44"/>
    <col min="8203" max="8203" width="32.140625" style="44" customWidth="1"/>
    <col min="8204" max="8448" width="9.140625" style="44"/>
    <col min="8449" max="8449" width="7.42578125" style="44" customWidth="1"/>
    <col min="8450" max="8450" width="27.85546875" style="44" bestFit="1" customWidth="1"/>
    <col min="8451" max="8451" width="23.42578125" style="44" customWidth="1"/>
    <col min="8452" max="8452" width="25.5703125" style="44" customWidth="1"/>
    <col min="8453" max="8453" width="21.85546875" style="44" customWidth="1"/>
    <col min="8454" max="8454" width="9.140625" style="44"/>
    <col min="8455" max="8455" width="7.42578125" style="44" customWidth="1"/>
    <col min="8456" max="8456" width="15.85546875" style="44" customWidth="1"/>
    <col min="8457" max="8457" width="12.28515625" style="44" customWidth="1"/>
    <col min="8458" max="8458" width="9.140625" style="44"/>
    <col min="8459" max="8459" width="32.140625" style="44" customWidth="1"/>
    <col min="8460" max="8704" width="9.140625" style="44"/>
    <col min="8705" max="8705" width="7.42578125" style="44" customWidth="1"/>
    <col min="8706" max="8706" width="27.85546875" style="44" bestFit="1" customWidth="1"/>
    <col min="8707" max="8707" width="23.42578125" style="44" customWidth="1"/>
    <col min="8708" max="8708" width="25.5703125" style="44" customWidth="1"/>
    <col min="8709" max="8709" width="21.85546875" style="44" customWidth="1"/>
    <col min="8710" max="8710" width="9.140625" style="44"/>
    <col min="8711" max="8711" width="7.42578125" style="44" customWidth="1"/>
    <col min="8712" max="8712" width="15.85546875" style="44" customWidth="1"/>
    <col min="8713" max="8713" width="12.28515625" style="44" customWidth="1"/>
    <col min="8714" max="8714" width="9.140625" style="44"/>
    <col min="8715" max="8715" width="32.140625" style="44" customWidth="1"/>
    <col min="8716" max="8960" width="9.140625" style="44"/>
    <col min="8961" max="8961" width="7.42578125" style="44" customWidth="1"/>
    <col min="8962" max="8962" width="27.85546875" style="44" bestFit="1" customWidth="1"/>
    <col min="8963" max="8963" width="23.42578125" style="44" customWidth="1"/>
    <col min="8964" max="8964" width="25.5703125" style="44" customWidth="1"/>
    <col min="8965" max="8965" width="21.85546875" style="44" customWidth="1"/>
    <col min="8966" max="8966" width="9.140625" style="44"/>
    <col min="8967" max="8967" width="7.42578125" style="44" customWidth="1"/>
    <col min="8968" max="8968" width="15.85546875" style="44" customWidth="1"/>
    <col min="8969" max="8969" width="12.28515625" style="44" customWidth="1"/>
    <col min="8970" max="8970" width="9.140625" style="44"/>
    <col min="8971" max="8971" width="32.140625" style="44" customWidth="1"/>
    <col min="8972" max="9216" width="9.140625" style="44"/>
    <col min="9217" max="9217" width="7.42578125" style="44" customWidth="1"/>
    <col min="9218" max="9218" width="27.85546875" style="44" bestFit="1" customWidth="1"/>
    <col min="9219" max="9219" width="23.42578125" style="44" customWidth="1"/>
    <col min="9220" max="9220" width="25.5703125" style="44" customWidth="1"/>
    <col min="9221" max="9221" width="21.85546875" style="44" customWidth="1"/>
    <col min="9222" max="9222" width="9.140625" style="44"/>
    <col min="9223" max="9223" width="7.42578125" style="44" customWidth="1"/>
    <col min="9224" max="9224" width="15.85546875" style="44" customWidth="1"/>
    <col min="9225" max="9225" width="12.28515625" style="44" customWidth="1"/>
    <col min="9226" max="9226" width="9.140625" style="44"/>
    <col min="9227" max="9227" width="32.140625" style="44" customWidth="1"/>
    <col min="9228" max="9472" width="9.140625" style="44"/>
    <col min="9473" max="9473" width="7.42578125" style="44" customWidth="1"/>
    <col min="9474" max="9474" width="27.85546875" style="44" bestFit="1" customWidth="1"/>
    <col min="9475" max="9475" width="23.42578125" style="44" customWidth="1"/>
    <col min="9476" max="9476" width="25.5703125" style="44" customWidth="1"/>
    <col min="9477" max="9477" width="21.85546875" style="44" customWidth="1"/>
    <col min="9478" max="9478" width="9.140625" style="44"/>
    <col min="9479" max="9479" width="7.42578125" style="44" customWidth="1"/>
    <col min="9480" max="9480" width="15.85546875" style="44" customWidth="1"/>
    <col min="9481" max="9481" width="12.28515625" style="44" customWidth="1"/>
    <col min="9482" max="9482" width="9.140625" style="44"/>
    <col min="9483" max="9483" width="32.140625" style="44" customWidth="1"/>
    <col min="9484" max="9728" width="9.140625" style="44"/>
    <col min="9729" max="9729" width="7.42578125" style="44" customWidth="1"/>
    <col min="9730" max="9730" width="27.85546875" style="44" bestFit="1" customWidth="1"/>
    <col min="9731" max="9731" width="23.42578125" style="44" customWidth="1"/>
    <col min="9732" max="9732" width="25.5703125" style="44" customWidth="1"/>
    <col min="9733" max="9733" width="21.85546875" style="44" customWidth="1"/>
    <col min="9734" max="9734" width="9.140625" style="44"/>
    <col min="9735" max="9735" width="7.42578125" style="44" customWidth="1"/>
    <col min="9736" max="9736" width="15.85546875" style="44" customWidth="1"/>
    <col min="9737" max="9737" width="12.28515625" style="44" customWidth="1"/>
    <col min="9738" max="9738" width="9.140625" style="44"/>
    <col min="9739" max="9739" width="32.140625" style="44" customWidth="1"/>
    <col min="9740" max="9984" width="9.140625" style="44"/>
    <col min="9985" max="9985" width="7.42578125" style="44" customWidth="1"/>
    <col min="9986" max="9986" width="27.85546875" style="44" bestFit="1" customWidth="1"/>
    <col min="9987" max="9987" width="23.42578125" style="44" customWidth="1"/>
    <col min="9988" max="9988" width="25.5703125" style="44" customWidth="1"/>
    <col min="9989" max="9989" width="21.85546875" style="44" customWidth="1"/>
    <col min="9990" max="9990" width="9.140625" style="44"/>
    <col min="9991" max="9991" width="7.42578125" style="44" customWidth="1"/>
    <col min="9992" max="9992" width="15.85546875" style="44" customWidth="1"/>
    <col min="9993" max="9993" width="12.28515625" style="44" customWidth="1"/>
    <col min="9994" max="9994" width="9.140625" style="44"/>
    <col min="9995" max="9995" width="32.140625" style="44" customWidth="1"/>
    <col min="9996" max="10240" width="9.140625" style="44"/>
    <col min="10241" max="10241" width="7.42578125" style="44" customWidth="1"/>
    <col min="10242" max="10242" width="27.85546875" style="44" bestFit="1" customWidth="1"/>
    <col min="10243" max="10243" width="23.42578125" style="44" customWidth="1"/>
    <col min="10244" max="10244" width="25.5703125" style="44" customWidth="1"/>
    <col min="10245" max="10245" width="21.85546875" style="44" customWidth="1"/>
    <col min="10246" max="10246" width="9.140625" style="44"/>
    <col min="10247" max="10247" width="7.42578125" style="44" customWidth="1"/>
    <col min="10248" max="10248" width="15.85546875" style="44" customWidth="1"/>
    <col min="10249" max="10249" width="12.28515625" style="44" customWidth="1"/>
    <col min="10250" max="10250" width="9.140625" style="44"/>
    <col min="10251" max="10251" width="32.140625" style="44" customWidth="1"/>
    <col min="10252" max="10496" width="9.140625" style="44"/>
    <col min="10497" max="10497" width="7.42578125" style="44" customWidth="1"/>
    <col min="10498" max="10498" width="27.85546875" style="44" bestFit="1" customWidth="1"/>
    <col min="10499" max="10499" width="23.42578125" style="44" customWidth="1"/>
    <col min="10500" max="10500" width="25.5703125" style="44" customWidth="1"/>
    <col min="10501" max="10501" width="21.85546875" style="44" customWidth="1"/>
    <col min="10502" max="10502" width="9.140625" style="44"/>
    <col min="10503" max="10503" width="7.42578125" style="44" customWidth="1"/>
    <col min="10504" max="10504" width="15.85546875" style="44" customWidth="1"/>
    <col min="10505" max="10505" width="12.28515625" style="44" customWidth="1"/>
    <col min="10506" max="10506" width="9.140625" style="44"/>
    <col min="10507" max="10507" width="32.140625" style="44" customWidth="1"/>
    <col min="10508" max="10752" width="9.140625" style="44"/>
    <col min="10753" max="10753" width="7.42578125" style="44" customWidth="1"/>
    <col min="10754" max="10754" width="27.85546875" style="44" bestFit="1" customWidth="1"/>
    <col min="10755" max="10755" width="23.42578125" style="44" customWidth="1"/>
    <col min="10756" max="10756" width="25.5703125" style="44" customWidth="1"/>
    <col min="10757" max="10757" width="21.85546875" style="44" customWidth="1"/>
    <col min="10758" max="10758" width="9.140625" style="44"/>
    <col min="10759" max="10759" width="7.42578125" style="44" customWidth="1"/>
    <col min="10760" max="10760" width="15.85546875" style="44" customWidth="1"/>
    <col min="10761" max="10761" width="12.28515625" style="44" customWidth="1"/>
    <col min="10762" max="10762" width="9.140625" style="44"/>
    <col min="10763" max="10763" width="32.140625" style="44" customWidth="1"/>
    <col min="10764" max="11008" width="9.140625" style="44"/>
    <col min="11009" max="11009" width="7.42578125" style="44" customWidth="1"/>
    <col min="11010" max="11010" width="27.85546875" style="44" bestFit="1" customWidth="1"/>
    <col min="11011" max="11011" width="23.42578125" style="44" customWidth="1"/>
    <col min="11012" max="11012" width="25.5703125" style="44" customWidth="1"/>
    <col min="11013" max="11013" width="21.85546875" style="44" customWidth="1"/>
    <col min="11014" max="11014" width="9.140625" style="44"/>
    <col min="11015" max="11015" width="7.42578125" style="44" customWidth="1"/>
    <col min="11016" max="11016" width="15.85546875" style="44" customWidth="1"/>
    <col min="11017" max="11017" width="12.28515625" style="44" customWidth="1"/>
    <col min="11018" max="11018" width="9.140625" style="44"/>
    <col min="11019" max="11019" width="32.140625" style="44" customWidth="1"/>
    <col min="11020" max="11264" width="9.140625" style="44"/>
    <col min="11265" max="11265" width="7.42578125" style="44" customWidth="1"/>
    <col min="11266" max="11266" width="27.85546875" style="44" bestFit="1" customWidth="1"/>
    <col min="11267" max="11267" width="23.42578125" style="44" customWidth="1"/>
    <col min="11268" max="11268" width="25.5703125" style="44" customWidth="1"/>
    <col min="11269" max="11269" width="21.85546875" style="44" customWidth="1"/>
    <col min="11270" max="11270" width="9.140625" style="44"/>
    <col min="11271" max="11271" width="7.42578125" style="44" customWidth="1"/>
    <col min="11272" max="11272" width="15.85546875" style="44" customWidth="1"/>
    <col min="11273" max="11273" width="12.28515625" style="44" customWidth="1"/>
    <col min="11274" max="11274" width="9.140625" style="44"/>
    <col min="11275" max="11275" width="32.140625" style="44" customWidth="1"/>
    <col min="11276" max="11520" width="9.140625" style="44"/>
    <col min="11521" max="11521" width="7.42578125" style="44" customWidth="1"/>
    <col min="11522" max="11522" width="27.85546875" style="44" bestFit="1" customWidth="1"/>
    <col min="11523" max="11523" width="23.42578125" style="44" customWidth="1"/>
    <col min="11524" max="11524" width="25.5703125" style="44" customWidth="1"/>
    <col min="11525" max="11525" width="21.85546875" style="44" customWidth="1"/>
    <col min="11526" max="11526" width="9.140625" style="44"/>
    <col min="11527" max="11527" width="7.42578125" style="44" customWidth="1"/>
    <col min="11528" max="11528" width="15.85546875" style="44" customWidth="1"/>
    <col min="11529" max="11529" width="12.28515625" style="44" customWidth="1"/>
    <col min="11530" max="11530" width="9.140625" style="44"/>
    <col min="11531" max="11531" width="32.140625" style="44" customWidth="1"/>
    <col min="11532" max="11776" width="9.140625" style="44"/>
    <col min="11777" max="11777" width="7.42578125" style="44" customWidth="1"/>
    <col min="11778" max="11778" width="27.85546875" style="44" bestFit="1" customWidth="1"/>
    <col min="11779" max="11779" width="23.42578125" style="44" customWidth="1"/>
    <col min="11780" max="11780" width="25.5703125" style="44" customWidth="1"/>
    <col min="11781" max="11781" width="21.85546875" style="44" customWidth="1"/>
    <col min="11782" max="11782" width="9.140625" style="44"/>
    <col min="11783" max="11783" width="7.42578125" style="44" customWidth="1"/>
    <col min="11784" max="11784" width="15.85546875" style="44" customWidth="1"/>
    <col min="11785" max="11785" width="12.28515625" style="44" customWidth="1"/>
    <col min="11786" max="11786" width="9.140625" style="44"/>
    <col min="11787" max="11787" width="32.140625" style="44" customWidth="1"/>
    <col min="11788" max="12032" width="9.140625" style="44"/>
    <col min="12033" max="12033" width="7.42578125" style="44" customWidth="1"/>
    <col min="12034" max="12034" width="27.85546875" style="44" bestFit="1" customWidth="1"/>
    <col min="12035" max="12035" width="23.42578125" style="44" customWidth="1"/>
    <col min="12036" max="12036" width="25.5703125" style="44" customWidth="1"/>
    <col min="12037" max="12037" width="21.85546875" style="44" customWidth="1"/>
    <col min="12038" max="12038" width="9.140625" style="44"/>
    <col min="12039" max="12039" width="7.42578125" style="44" customWidth="1"/>
    <col min="12040" max="12040" width="15.85546875" style="44" customWidth="1"/>
    <col min="12041" max="12041" width="12.28515625" style="44" customWidth="1"/>
    <col min="12042" max="12042" width="9.140625" style="44"/>
    <col min="12043" max="12043" width="32.140625" style="44" customWidth="1"/>
    <col min="12044" max="12288" width="9.140625" style="44"/>
    <col min="12289" max="12289" width="7.42578125" style="44" customWidth="1"/>
    <col min="12290" max="12290" width="27.85546875" style="44" bestFit="1" customWidth="1"/>
    <col min="12291" max="12291" width="23.42578125" style="44" customWidth="1"/>
    <col min="12292" max="12292" width="25.5703125" style="44" customWidth="1"/>
    <col min="12293" max="12293" width="21.85546875" style="44" customWidth="1"/>
    <col min="12294" max="12294" width="9.140625" style="44"/>
    <col min="12295" max="12295" width="7.42578125" style="44" customWidth="1"/>
    <col min="12296" max="12296" width="15.85546875" style="44" customWidth="1"/>
    <col min="12297" max="12297" width="12.28515625" style="44" customWidth="1"/>
    <col min="12298" max="12298" width="9.140625" style="44"/>
    <col min="12299" max="12299" width="32.140625" style="44" customWidth="1"/>
    <col min="12300" max="12544" width="9.140625" style="44"/>
    <col min="12545" max="12545" width="7.42578125" style="44" customWidth="1"/>
    <col min="12546" max="12546" width="27.85546875" style="44" bestFit="1" customWidth="1"/>
    <col min="12547" max="12547" width="23.42578125" style="44" customWidth="1"/>
    <col min="12548" max="12548" width="25.5703125" style="44" customWidth="1"/>
    <col min="12549" max="12549" width="21.85546875" style="44" customWidth="1"/>
    <col min="12550" max="12550" width="9.140625" style="44"/>
    <col min="12551" max="12551" width="7.42578125" style="44" customWidth="1"/>
    <col min="12552" max="12552" width="15.85546875" style="44" customWidth="1"/>
    <col min="12553" max="12553" width="12.28515625" style="44" customWidth="1"/>
    <col min="12554" max="12554" width="9.140625" style="44"/>
    <col min="12555" max="12555" width="32.140625" style="44" customWidth="1"/>
    <col min="12556" max="12800" width="9.140625" style="44"/>
    <col min="12801" max="12801" width="7.42578125" style="44" customWidth="1"/>
    <col min="12802" max="12802" width="27.85546875" style="44" bestFit="1" customWidth="1"/>
    <col min="12803" max="12803" width="23.42578125" style="44" customWidth="1"/>
    <col min="12804" max="12804" width="25.5703125" style="44" customWidth="1"/>
    <col min="12805" max="12805" width="21.85546875" style="44" customWidth="1"/>
    <col min="12806" max="12806" width="9.140625" style="44"/>
    <col min="12807" max="12807" width="7.42578125" style="44" customWidth="1"/>
    <col min="12808" max="12808" width="15.85546875" style="44" customWidth="1"/>
    <col min="12809" max="12809" width="12.28515625" style="44" customWidth="1"/>
    <col min="12810" max="12810" width="9.140625" style="44"/>
    <col min="12811" max="12811" width="32.140625" style="44" customWidth="1"/>
    <col min="12812" max="13056" width="9.140625" style="44"/>
    <col min="13057" max="13057" width="7.42578125" style="44" customWidth="1"/>
    <col min="13058" max="13058" width="27.85546875" style="44" bestFit="1" customWidth="1"/>
    <col min="13059" max="13059" width="23.42578125" style="44" customWidth="1"/>
    <col min="13060" max="13060" width="25.5703125" style="44" customWidth="1"/>
    <col min="13061" max="13061" width="21.85546875" style="44" customWidth="1"/>
    <col min="13062" max="13062" width="9.140625" style="44"/>
    <col min="13063" max="13063" width="7.42578125" style="44" customWidth="1"/>
    <col min="13064" max="13064" width="15.85546875" style="44" customWidth="1"/>
    <col min="13065" max="13065" width="12.28515625" style="44" customWidth="1"/>
    <col min="13066" max="13066" width="9.140625" style="44"/>
    <col min="13067" max="13067" width="32.140625" style="44" customWidth="1"/>
    <col min="13068" max="13312" width="9.140625" style="44"/>
    <col min="13313" max="13313" width="7.42578125" style="44" customWidth="1"/>
    <col min="13314" max="13314" width="27.85546875" style="44" bestFit="1" customWidth="1"/>
    <col min="13315" max="13315" width="23.42578125" style="44" customWidth="1"/>
    <col min="13316" max="13316" width="25.5703125" style="44" customWidth="1"/>
    <col min="13317" max="13317" width="21.85546875" style="44" customWidth="1"/>
    <col min="13318" max="13318" width="9.140625" style="44"/>
    <col min="13319" max="13319" width="7.42578125" style="44" customWidth="1"/>
    <col min="13320" max="13320" width="15.85546875" style="44" customWidth="1"/>
    <col min="13321" max="13321" width="12.28515625" style="44" customWidth="1"/>
    <col min="13322" max="13322" width="9.140625" style="44"/>
    <col min="13323" max="13323" width="32.140625" style="44" customWidth="1"/>
    <col min="13324" max="13568" width="9.140625" style="44"/>
    <col min="13569" max="13569" width="7.42578125" style="44" customWidth="1"/>
    <col min="13570" max="13570" width="27.85546875" style="44" bestFit="1" customWidth="1"/>
    <col min="13571" max="13571" width="23.42578125" style="44" customWidth="1"/>
    <col min="13572" max="13572" width="25.5703125" style="44" customWidth="1"/>
    <col min="13573" max="13573" width="21.85546875" style="44" customWidth="1"/>
    <col min="13574" max="13574" width="9.140625" style="44"/>
    <col min="13575" max="13575" width="7.42578125" style="44" customWidth="1"/>
    <col min="13576" max="13576" width="15.85546875" style="44" customWidth="1"/>
    <col min="13577" max="13577" width="12.28515625" style="44" customWidth="1"/>
    <col min="13578" max="13578" width="9.140625" style="44"/>
    <col min="13579" max="13579" width="32.140625" style="44" customWidth="1"/>
    <col min="13580" max="13824" width="9.140625" style="44"/>
    <col min="13825" max="13825" width="7.42578125" style="44" customWidth="1"/>
    <col min="13826" max="13826" width="27.85546875" style="44" bestFit="1" customWidth="1"/>
    <col min="13827" max="13827" width="23.42578125" style="44" customWidth="1"/>
    <col min="13828" max="13828" width="25.5703125" style="44" customWidth="1"/>
    <col min="13829" max="13829" width="21.85546875" style="44" customWidth="1"/>
    <col min="13830" max="13830" width="9.140625" style="44"/>
    <col min="13831" max="13831" width="7.42578125" style="44" customWidth="1"/>
    <col min="13832" max="13832" width="15.85546875" style="44" customWidth="1"/>
    <col min="13833" max="13833" width="12.28515625" style="44" customWidth="1"/>
    <col min="13834" max="13834" width="9.140625" style="44"/>
    <col min="13835" max="13835" width="32.140625" style="44" customWidth="1"/>
    <col min="13836" max="14080" width="9.140625" style="44"/>
    <col min="14081" max="14081" width="7.42578125" style="44" customWidth="1"/>
    <col min="14082" max="14082" width="27.85546875" style="44" bestFit="1" customWidth="1"/>
    <col min="14083" max="14083" width="23.42578125" style="44" customWidth="1"/>
    <col min="14084" max="14084" width="25.5703125" style="44" customWidth="1"/>
    <col min="14085" max="14085" width="21.85546875" style="44" customWidth="1"/>
    <col min="14086" max="14086" width="9.140625" style="44"/>
    <col min="14087" max="14087" width="7.42578125" style="44" customWidth="1"/>
    <col min="14088" max="14088" width="15.85546875" style="44" customWidth="1"/>
    <col min="14089" max="14089" width="12.28515625" style="44" customWidth="1"/>
    <col min="14090" max="14090" width="9.140625" style="44"/>
    <col min="14091" max="14091" width="32.140625" style="44" customWidth="1"/>
    <col min="14092" max="14336" width="9.140625" style="44"/>
    <col min="14337" max="14337" width="7.42578125" style="44" customWidth="1"/>
    <col min="14338" max="14338" width="27.85546875" style="44" bestFit="1" customWidth="1"/>
    <col min="14339" max="14339" width="23.42578125" style="44" customWidth="1"/>
    <col min="14340" max="14340" width="25.5703125" style="44" customWidth="1"/>
    <col min="14341" max="14341" width="21.85546875" style="44" customWidth="1"/>
    <col min="14342" max="14342" width="9.140625" style="44"/>
    <col min="14343" max="14343" width="7.42578125" style="44" customWidth="1"/>
    <col min="14344" max="14344" width="15.85546875" style="44" customWidth="1"/>
    <col min="14345" max="14345" width="12.28515625" style="44" customWidth="1"/>
    <col min="14346" max="14346" width="9.140625" style="44"/>
    <col min="14347" max="14347" width="32.140625" style="44" customWidth="1"/>
    <col min="14348" max="14592" width="9.140625" style="44"/>
    <col min="14593" max="14593" width="7.42578125" style="44" customWidth="1"/>
    <col min="14594" max="14594" width="27.85546875" style="44" bestFit="1" customWidth="1"/>
    <col min="14595" max="14595" width="23.42578125" style="44" customWidth="1"/>
    <col min="14596" max="14596" width="25.5703125" style="44" customWidth="1"/>
    <col min="14597" max="14597" width="21.85546875" style="44" customWidth="1"/>
    <col min="14598" max="14598" width="9.140625" style="44"/>
    <col min="14599" max="14599" width="7.42578125" style="44" customWidth="1"/>
    <col min="14600" max="14600" width="15.85546875" style="44" customWidth="1"/>
    <col min="14601" max="14601" width="12.28515625" style="44" customWidth="1"/>
    <col min="14602" max="14602" width="9.140625" style="44"/>
    <col min="14603" max="14603" width="32.140625" style="44" customWidth="1"/>
    <col min="14604" max="14848" width="9.140625" style="44"/>
    <col min="14849" max="14849" width="7.42578125" style="44" customWidth="1"/>
    <col min="14850" max="14850" width="27.85546875" style="44" bestFit="1" customWidth="1"/>
    <col min="14851" max="14851" width="23.42578125" style="44" customWidth="1"/>
    <col min="14852" max="14852" width="25.5703125" style="44" customWidth="1"/>
    <col min="14853" max="14853" width="21.85546875" style="44" customWidth="1"/>
    <col min="14854" max="14854" width="9.140625" style="44"/>
    <col min="14855" max="14855" width="7.42578125" style="44" customWidth="1"/>
    <col min="14856" max="14856" width="15.85546875" style="44" customWidth="1"/>
    <col min="14857" max="14857" width="12.28515625" style="44" customWidth="1"/>
    <col min="14858" max="14858" width="9.140625" style="44"/>
    <col min="14859" max="14859" width="32.140625" style="44" customWidth="1"/>
    <col min="14860" max="15104" width="9.140625" style="44"/>
    <col min="15105" max="15105" width="7.42578125" style="44" customWidth="1"/>
    <col min="15106" max="15106" width="27.85546875" style="44" bestFit="1" customWidth="1"/>
    <col min="15107" max="15107" width="23.42578125" style="44" customWidth="1"/>
    <col min="15108" max="15108" width="25.5703125" style="44" customWidth="1"/>
    <col min="15109" max="15109" width="21.85546875" style="44" customWidth="1"/>
    <col min="15110" max="15110" width="9.140625" style="44"/>
    <col min="15111" max="15111" width="7.42578125" style="44" customWidth="1"/>
    <col min="15112" max="15112" width="15.85546875" style="44" customWidth="1"/>
    <col min="15113" max="15113" width="12.28515625" style="44" customWidth="1"/>
    <col min="15114" max="15114" width="9.140625" style="44"/>
    <col min="15115" max="15115" width="32.140625" style="44" customWidth="1"/>
    <col min="15116" max="15360" width="9.140625" style="44"/>
    <col min="15361" max="15361" width="7.42578125" style="44" customWidth="1"/>
    <col min="15362" max="15362" width="27.85546875" style="44" bestFit="1" customWidth="1"/>
    <col min="15363" max="15363" width="23.42578125" style="44" customWidth="1"/>
    <col min="15364" max="15364" width="25.5703125" style="44" customWidth="1"/>
    <col min="15365" max="15365" width="21.85546875" style="44" customWidth="1"/>
    <col min="15366" max="15366" width="9.140625" style="44"/>
    <col min="15367" max="15367" width="7.42578125" style="44" customWidth="1"/>
    <col min="15368" max="15368" width="15.85546875" style="44" customWidth="1"/>
    <col min="15369" max="15369" width="12.28515625" style="44" customWidth="1"/>
    <col min="15370" max="15370" width="9.140625" style="44"/>
    <col min="15371" max="15371" width="32.140625" style="44" customWidth="1"/>
    <col min="15372" max="15616" width="9.140625" style="44"/>
    <col min="15617" max="15617" width="7.42578125" style="44" customWidth="1"/>
    <col min="15618" max="15618" width="27.85546875" style="44" bestFit="1" customWidth="1"/>
    <col min="15619" max="15619" width="23.42578125" style="44" customWidth="1"/>
    <col min="15620" max="15620" width="25.5703125" style="44" customWidth="1"/>
    <col min="15621" max="15621" width="21.85546875" style="44" customWidth="1"/>
    <col min="15622" max="15622" width="9.140625" style="44"/>
    <col min="15623" max="15623" width="7.42578125" style="44" customWidth="1"/>
    <col min="15624" max="15624" width="15.85546875" style="44" customWidth="1"/>
    <col min="15625" max="15625" width="12.28515625" style="44" customWidth="1"/>
    <col min="15626" max="15626" width="9.140625" style="44"/>
    <col min="15627" max="15627" width="32.140625" style="44" customWidth="1"/>
    <col min="15628" max="15872" width="9.140625" style="44"/>
    <col min="15873" max="15873" width="7.42578125" style="44" customWidth="1"/>
    <col min="15874" max="15874" width="27.85546875" style="44" bestFit="1" customWidth="1"/>
    <col min="15875" max="15875" width="23.42578125" style="44" customWidth="1"/>
    <col min="15876" max="15876" width="25.5703125" style="44" customWidth="1"/>
    <col min="15877" max="15877" width="21.85546875" style="44" customWidth="1"/>
    <col min="15878" max="15878" width="9.140625" style="44"/>
    <col min="15879" max="15879" width="7.42578125" style="44" customWidth="1"/>
    <col min="15880" max="15880" width="15.85546875" style="44" customWidth="1"/>
    <col min="15881" max="15881" width="12.28515625" style="44" customWidth="1"/>
    <col min="15882" max="15882" width="9.140625" style="44"/>
    <col min="15883" max="15883" width="32.140625" style="44" customWidth="1"/>
    <col min="15884" max="16128" width="9.140625" style="44"/>
    <col min="16129" max="16129" width="7.42578125" style="44" customWidth="1"/>
    <col min="16130" max="16130" width="27.85546875" style="44" bestFit="1" customWidth="1"/>
    <col min="16131" max="16131" width="23.42578125" style="44" customWidth="1"/>
    <col min="16132" max="16132" width="25.5703125" style="44" customWidth="1"/>
    <col min="16133" max="16133" width="21.85546875" style="44" customWidth="1"/>
    <col min="16134" max="16134" width="9.140625" style="44"/>
    <col min="16135" max="16135" width="7.42578125" style="44" customWidth="1"/>
    <col min="16136" max="16136" width="15.85546875" style="44" customWidth="1"/>
    <col min="16137" max="16137" width="12.28515625" style="44" customWidth="1"/>
    <col min="16138" max="16138" width="9.140625" style="44"/>
    <col min="16139" max="16139" width="32.140625" style="44" customWidth="1"/>
    <col min="16140" max="16384" width="9.140625" style="44"/>
  </cols>
  <sheetData>
    <row r="1" spans="1:13" s="138" customFormat="1" ht="27" customHeight="1" thickBot="1" x14ac:dyDescent="0.4">
      <c r="A1" s="140" t="s">
        <v>2428</v>
      </c>
      <c r="B1" s="139"/>
      <c r="C1" s="139"/>
      <c r="D1" s="139"/>
      <c r="E1" s="139"/>
      <c r="F1" s="139"/>
      <c r="G1" s="139"/>
      <c r="H1" s="139"/>
      <c r="I1" s="139"/>
      <c r="J1" s="139"/>
      <c r="K1" s="139"/>
    </row>
    <row r="2" spans="1:13" ht="9.9499999999999993" customHeight="1" x14ac:dyDescent="0.25">
      <c r="B2" s="100"/>
    </row>
    <row r="3" spans="1:13" ht="18" x14ac:dyDescent="0.25">
      <c r="B3" s="100"/>
      <c r="C3" s="285" t="str">
        <f>'Interface - Substantial impacts'!$I$13</f>
        <v>Adrian WWTP</v>
      </c>
      <c r="D3" s="285"/>
    </row>
    <row r="5" spans="1:13" x14ac:dyDescent="0.2">
      <c r="C5" s="190" t="s">
        <v>2429</v>
      </c>
      <c r="D5" s="190"/>
      <c r="E5" s="286" t="s">
        <v>2430</v>
      </c>
      <c r="F5" s="286"/>
      <c r="G5" s="286"/>
      <c r="H5" s="287" t="s">
        <v>2431</v>
      </c>
      <c r="I5" s="287"/>
      <c r="J5" s="287"/>
      <c r="K5" s="191" t="s">
        <v>2432</v>
      </c>
    </row>
    <row r="6" spans="1:13" x14ac:dyDescent="0.2">
      <c r="C6" s="190"/>
      <c r="D6" s="190"/>
      <c r="E6" s="192"/>
      <c r="F6" s="190"/>
      <c r="G6" s="190"/>
      <c r="H6" s="190"/>
      <c r="I6" s="190"/>
      <c r="J6" s="190"/>
      <c r="K6" s="190"/>
    </row>
    <row r="7" spans="1:13" x14ac:dyDescent="0.2">
      <c r="C7" s="190" t="s">
        <v>2433</v>
      </c>
      <c r="D7" s="190"/>
      <c r="E7" s="288">
        <f>Calculations!$G$6+Calculations!$G$22</f>
        <v>8000000</v>
      </c>
      <c r="F7" s="288"/>
      <c r="G7" s="288"/>
      <c r="H7" s="288">
        <f>Calculations!$H$6+Calculations!$H$22</f>
        <v>2246695</v>
      </c>
      <c r="I7" s="288"/>
      <c r="J7" s="288"/>
      <c r="K7" s="193">
        <f>Calculations!$I$52</f>
        <v>24760591.520000003</v>
      </c>
    </row>
    <row r="8" spans="1:13" x14ac:dyDescent="0.2">
      <c r="C8" s="190"/>
      <c r="D8" s="190"/>
      <c r="E8" s="194"/>
      <c r="F8" s="190"/>
      <c r="G8" s="190"/>
      <c r="H8" s="190"/>
      <c r="I8" s="190"/>
      <c r="J8" s="190"/>
      <c r="K8" s="190"/>
    </row>
    <row r="9" spans="1:13" x14ac:dyDescent="0.2">
      <c r="C9" s="190" t="s">
        <v>2434</v>
      </c>
      <c r="D9" s="190"/>
      <c r="E9" s="283">
        <f>Calculations!$G$46</f>
        <v>155.75718044861526</v>
      </c>
      <c r="F9" s="284"/>
      <c r="G9" s="284"/>
      <c r="H9" s="195"/>
      <c r="I9" s="196">
        <f>Calculations!$H$46</f>
        <v>155.75718044861526</v>
      </c>
      <c r="J9" s="190"/>
      <c r="K9" s="193">
        <f>Calculations!$I$54</f>
        <v>10266.204954000015</v>
      </c>
    </row>
    <row r="10" spans="1:13" x14ac:dyDescent="0.2">
      <c r="C10" s="190"/>
      <c r="D10" s="190"/>
      <c r="E10" s="197"/>
      <c r="F10" s="190"/>
      <c r="G10" s="190"/>
      <c r="H10" s="190"/>
      <c r="I10" s="190"/>
      <c r="J10" s="190"/>
      <c r="K10" s="190"/>
    </row>
    <row r="11" spans="1:13" x14ac:dyDescent="0.2">
      <c r="C11" s="190" t="s">
        <v>2435</v>
      </c>
      <c r="D11" s="190"/>
      <c r="E11" s="289">
        <f>Calculations!$G$58</f>
        <v>2.6701383513382691E-3</v>
      </c>
      <c r="F11" s="289"/>
      <c r="G11" s="289"/>
      <c r="H11" s="289">
        <f>Calculations!$H$58</f>
        <v>2.6701383513382691E-3</v>
      </c>
      <c r="I11" s="289"/>
      <c r="J11" s="289"/>
      <c r="K11" s="198">
        <f>Calculations!$I$58</f>
        <v>0.17599309060051799</v>
      </c>
    </row>
    <row r="12" spans="1:13" x14ac:dyDescent="0.2">
      <c r="C12" s="190"/>
      <c r="D12" s="190"/>
      <c r="E12" s="199"/>
      <c r="F12" s="190"/>
      <c r="G12" s="190"/>
      <c r="H12" s="190"/>
      <c r="I12" s="190"/>
      <c r="J12" s="190"/>
      <c r="K12" s="191"/>
    </row>
    <row r="13" spans="1:13" ht="15" x14ac:dyDescent="0.25">
      <c r="C13" s="190" t="s">
        <v>2436</v>
      </c>
      <c r="D13" s="190"/>
      <c r="E13" s="290">
        <f>'Secondary Calculations'!$H$8</f>
        <v>2.3333333333333335</v>
      </c>
      <c r="F13" s="290"/>
      <c r="G13" s="290"/>
      <c r="H13" s="290">
        <f>'Secondary Calculations'!$H$8</f>
        <v>2.3333333333333335</v>
      </c>
      <c r="I13" s="290"/>
      <c r="J13" s="290"/>
      <c r="K13" s="200">
        <f>'Secondary Calculations'!$H$8</f>
        <v>2.3333333333333335</v>
      </c>
      <c r="L13" s="144"/>
      <c r="M13" s="144"/>
    </row>
    <row r="14" spans="1:13" ht="29.25" customHeight="1" x14ac:dyDescent="0.2">
      <c r="C14" s="190" t="s">
        <v>2437</v>
      </c>
      <c r="D14" s="190"/>
      <c r="E14" s="291" t="str">
        <f>'Secondary Calculations'!$L$9</f>
        <v>Unlikely to be Eligible</v>
      </c>
      <c r="F14" s="291"/>
      <c r="G14" s="291"/>
      <c r="H14" s="291" t="str">
        <f>'Secondary Calculations'!$L$10</f>
        <v>Unlikely to be Eligible</v>
      </c>
      <c r="I14" s="291"/>
      <c r="J14" s="291"/>
      <c r="K14" s="201" t="str">
        <f>'Secondary Calculations'!$L$11</f>
        <v>Eligible</v>
      </c>
    </row>
    <row r="16" spans="1:13" ht="18.75" x14ac:dyDescent="0.3">
      <c r="B16" s="202" t="s">
        <v>2438</v>
      </c>
    </row>
    <row r="18" spans="1:6" ht="15.75" x14ac:dyDescent="0.25">
      <c r="C18" s="285" t="s">
        <v>2439</v>
      </c>
      <c r="D18" s="285"/>
      <c r="E18" s="285"/>
    </row>
    <row r="19" spans="1:6" x14ac:dyDescent="0.2">
      <c r="B19" s="35"/>
      <c r="C19" s="204" t="s">
        <v>2440</v>
      </c>
      <c r="D19" s="205" t="s">
        <v>2441</v>
      </c>
      <c r="E19" s="205" t="s">
        <v>2442</v>
      </c>
    </row>
    <row r="20" spans="1:6" ht="15.75" customHeight="1" x14ac:dyDescent="0.2">
      <c r="B20" s="128"/>
      <c r="C20" s="128"/>
      <c r="D20" s="128"/>
      <c r="E20" s="128"/>
    </row>
    <row r="21" spans="1:6" ht="15.75" customHeight="1" x14ac:dyDescent="0.2">
      <c r="A21" s="292" t="s">
        <v>2443</v>
      </c>
      <c r="B21" s="35"/>
      <c r="C21" s="239" t="s">
        <v>2444</v>
      </c>
      <c r="D21" s="239" t="s">
        <v>2445</v>
      </c>
      <c r="E21" s="239" t="s">
        <v>2445</v>
      </c>
    </row>
    <row r="22" spans="1:6" x14ac:dyDescent="0.2">
      <c r="A22" s="292"/>
      <c r="B22" s="128" t="s">
        <v>2446</v>
      </c>
      <c r="C22" s="239"/>
      <c r="D22" s="239"/>
      <c r="E22" s="239"/>
    </row>
    <row r="23" spans="1:6" x14ac:dyDescent="0.2">
      <c r="A23" s="292"/>
      <c r="B23" s="35"/>
      <c r="C23" s="239"/>
      <c r="D23" s="239"/>
      <c r="E23" s="239"/>
    </row>
    <row r="24" spans="1:6" x14ac:dyDescent="0.2">
      <c r="A24" s="292"/>
      <c r="B24" s="35"/>
      <c r="C24" s="239" t="s">
        <v>2447</v>
      </c>
      <c r="D24" s="239" t="s">
        <v>2448</v>
      </c>
      <c r="E24" s="239" t="s">
        <v>2445</v>
      </c>
    </row>
    <row r="25" spans="1:6" x14ac:dyDescent="0.2">
      <c r="A25" s="292"/>
      <c r="B25" s="128" t="s">
        <v>2449</v>
      </c>
      <c r="C25" s="239"/>
      <c r="D25" s="239"/>
      <c r="E25" s="239"/>
    </row>
    <row r="26" spans="1:6" x14ac:dyDescent="0.2">
      <c r="A26" s="292"/>
      <c r="B26" s="35"/>
      <c r="C26" s="239"/>
      <c r="D26" s="239"/>
      <c r="E26" s="239"/>
    </row>
    <row r="27" spans="1:6" x14ac:dyDescent="0.2">
      <c r="A27" s="292"/>
      <c r="B27" s="35"/>
      <c r="C27" s="239" t="s">
        <v>2447</v>
      </c>
      <c r="D27" s="293" t="s">
        <v>2447</v>
      </c>
      <c r="E27" s="239" t="s">
        <v>2450</v>
      </c>
    </row>
    <row r="28" spans="1:6" ht="21" customHeight="1" x14ac:dyDescent="0.2">
      <c r="A28" s="292"/>
      <c r="B28" s="128" t="s">
        <v>2451</v>
      </c>
      <c r="C28" s="239"/>
      <c r="D28" s="293"/>
      <c r="E28" s="239"/>
    </row>
    <row r="29" spans="1:6" x14ac:dyDescent="0.2">
      <c r="B29" s="128"/>
      <c r="C29" s="239"/>
      <c r="D29" s="293"/>
      <c r="E29" s="239"/>
    </row>
    <row r="31" spans="1:6" ht="18" x14ac:dyDescent="0.25">
      <c r="B31" s="100"/>
    </row>
    <row r="32" spans="1:6" x14ac:dyDescent="0.2">
      <c r="B32" s="146"/>
      <c r="C32" s="146"/>
      <c r="D32" s="146"/>
      <c r="E32" s="146"/>
      <c r="F32" s="146"/>
    </row>
    <row r="33" spans="2:6" x14ac:dyDescent="0.2">
      <c r="B33" s="146"/>
      <c r="C33" s="146"/>
      <c r="D33" s="146"/>
      <c r="E33" s="147"/>
      <c r="F33" s="146"/>
    </row>
    <row r="34" spans="2:6" x14ac:dyDescent="0.2">
      <c r="B34" s="146"/>
      <c r="C34" s="146"/>
      <c r="D34" s="146"/>
      <c r="E34" s="147"/>
      <c r="F34" s="146"/>
    </row>
    <row r="35" spans="2:6" x14ac:dyDescent="0.2">
      <c r="B35" s="146"/>
      <c r="C35" s="148"/>
      <c r="D35" s="148"/>
      <c r="E35" s="149"/>
      <c r="F35" s="146"/>
    </row>
    <row r="36" spans="2:6" x14ac:dyDescent="0.2">
      <c r="B36" s="146"/>
      <c r="C36" s="146"/>
      <c r="D36" s="146"/>
      <c r="E36" s="147"/>
      <c r="F36" s="146"/>
    </row>
    <row r="37" spans="2:6" x14ac:dyDescent="0.2">
      <c r="B37" s="146"/>
      <c r="C37" s="148"/>
      <c r="D37" s="148"/>
      <c r="E37" s="150"/>
      <c r="F37" s="146"/>
    </row>
    <row r="38" spans="2:6" x14ac:dyDescent="0.2">
      <c r="B38" s="146"/>
      <c r="C38" s="146"/>
      <c r="D38" s="146"/>
      <c r="E38" s="147"/>
      <c r="F38" s="146"/>
    </row>
    <row r="39" spans="2:6" x14ac:dyDescent="0.2">
      <c r="B39" s="146"/>
      <c r="C39" s="148"/>
      <c r="D39" s="148"/>
      <c r="E39" s="151"/>
      <c r="F39" s="146"/>
    </row>
    <row r="40" spans="2:6" x14ac:dyDescent="0.2">
      <c r="B40" s="146"/>
      <c r="C40" s="146"/>
      <c r="D40" s="146"/>
      <c r="E40" s="147"/>
      <c r="F40" s="146"/>
    </row>
    <row r="41" spans="2:6" x14ac:dyDescent="0.2">
      <c r="B41" s="146"/>
      <c r="C41" s="148"/>
      <c r="D41" s="148"/>
      <c r="E41" s="151"/>
      <c r="F41" s="146"/>
    </row>
    <row r="42" spans="2:6" x14ac:dyDescent="0.2">
      <c r="B42" s="146"/>
      <c r="C42" s="146"/>
      <c r="D42" s="146"/>
      <c r="E42" s="147"/>
      <c r="F42" s="146"/>
    </row>
    <row r="43" spans="2:6" x14ac:dyDescent="0.2">
      <c r="B43" s="146"/>
      <c r="C43" s="148"/>
      <c r="D43" s="148"/>
      <c r="E43" s="151"/>
      <c r="F43" s="146"/>
    </row>
    <row r="44" spans="2:6" x14ac:dyDescent="0.2">
      <c r="B44" s="146"/>
      <c r="C44" s="146"/>
      <c r="D44" s="146"/>
      <c r="E44" s="147"/>
      <c r="F44" s="146"/>
    </row>
    <row r="45" spans="2:6" x14ac:dyDescent="0.2">
      <c r="B45" s="146"/>
      <c r="C45" s="146"/>
      <c r="D45" s="146"/>
      <c r="E45" s="147"/>
      <c r="F45" s="146"/>
    </row>
    <row r="46" spans="2:6" x14ac:dyDescent="0.2">
      <c r="B46" s="146"/>
      <c r="C46" s="146"/>
      <c r="D46" s="146"/>
      <c r="E46" s="146"/>
      <c r="F46" s="146"/>
    </row>
  </sheetData>
  <mergeCells count="23">
    <mergeCell ref="E27:E29"/>
    <mergeCell ref="C18:E18"/>
    <mergeCell ref="A21:A28"/>
    <mergeCell ref="C21:C23"/>
    <mergeCell ref="D21:D23"/>
    <mergeCell ref="E21:E23"/>
    <mergeCell ref="C24:C26"/>
    <mergeCell ref="D24:D26"/>
    <mergeCell ref="E24:E26"/>
    <mergeCell ref="C27:C29"/>
    <mergeCell ref="D27:D29"/>
    <mergeCell ref="E11:G11"/>
    <mergeCell ref="H11:J11"/>
    <mergeCell ref="E13:G13"/>
    <mergeCell ref="H13:J13"/>
    <mergeCell ref="E14:G14"/>
    <mergeCell ref="H14:J14"/>
    <mergeCell ref="E9:G9"/>
    <mergeCell ref="C3:D3"/>
    <mergeCell ref="E5:G5"/>
    <mergeCell ref="H5:J5"/>
    <mergeCell ref="E7:G7"/>
    <mergeCell ref="H7:J7"/>
  </mergeCells>
  <pageMargins left="0.45" right="0.45" top="0.5" bottom="0.5" header="0.3" footer="0.3"/>
  <pageSetup paperSize="5" scale="82" orientation="landscape" r:id="rId1"/>
  <headerFooter>
    <oddFooter>&amp;L&amp;"Arial,Italic"&amp;9wq-wwprm2-17  •  11/30/23&amp;C&amp;"Arial,Italic"&amp;9 htttps://ww.pca.state.mn.us  •  Available in alternative formats  •  651-296-6300  •  800-657-3864  •  Use your preferred relay service&amp;R&amp;"Arial,Italic"&amp;9Page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A47C8-00AE-4F41-B186-75FB863EC0AE}">
  <sheetPr codeName="Sheet1"/>
  <dimension ref="A1:C7"/>
  <sheetViews>
    <sheetView showGridLines="0" zoomScaleNormal="100" workbookViewId="0">
      <selection sqref="A1:C1"/>
    </sheetView>
  </sheetViews>
  <sheetFormatPr defaultColWidth="9.140625" defaultRowHeight="14.25" x14ac:dyDescent="0.2"/>
  <cols>
    <col min="1" max="2" width="9.140625" style="44"/>
    <col min="3" max="3" width="234.28515625" style="44" customWidth="1"/>
    <col min="4" max="16384" width="9.140625" style="44"/>
  </cols>
  <sheetData>
    <row r="1" spans="1:3" ht="42.75" customHeight="1" thickBot="1" x14ac:dyDescent="0.35">
      <c r="A1" s="235" t="s">
        <v>1434</v>
      </c>
      <c r="B1" s="235"/>
      <c r="C1" s="235"/>
    </row>
    <row r="2" spans="1:3" ht="28.5" customHeight="1" x14ac:dyDescent="0.2">
      <c r="A2" s="236" t="s">
        <v>1433</v>
      </c>
      <c r="B2" s="236"/>
      <c r="C2" s="236"/>
    </row>
    <row r="3" spans="1:3" ht="207" customHeight="1" x14ac:dyDescent="0.2">
      <c r="A3" s="237" t="s">
        <v>2566</v>
      </c>
      <c r="B3" s="237"/>
      <c r="C3" s="237"/>
    </row>
    <row r="5" spans="1:3" x14ac:dyDescent="0.2">
      <c r="A5" s="238" t="s">
        <v>1432</v>
      </c>
      <c r="B5" s="238"/>
      <c r="C5" s="238"/>
    </row>
    <row r="6" spans="1:3" x14ac:dyDescent="0.2">
      <c r="A6" s="240" t="s">
        <v>1435</v>
      </c>
      <c r="B6" s="240"/>
      <c r="C6" s="240"/>
    </row>
    <row r="7" spans="1:3" ht="192.75" customHeight="1" x14ac:dyDescent="0.2">
      <c r="A7" s="239" t="s">
        <v>2567</v>
      </c>
      <c r="B7" s="239"/>
      <c r="C7" s="239"/>
    </row>
  </sheetData>
  <mergeCells count="6">
    <mergeCell ref="A1:C1"/>
    <mergeCell ref="A2:C2"/>
    <mergeCell ref="A3:C3"/>
    <mergeCell ref="A5:C5"/>
    <mergeCell ref="A7:C7"/>
    <mergeCell ref="A6:C6"/>
  </mergeCells>
  <pageMargins left="0.45" right="0.45" top="0.5" bottom="0.5" header="0.3" footer="0.3"/>
  <pageSetup paperSize="5" scale="64" orientation="landscape" r:id="rId1"/>
  <headerFooter>
    <oddFooter>&amp;L&amp;"Arial,Italic"&amp;9wq-wwprm2-17  •  8/7/24&amp;C&amp;"Arial,Italic"&amp;9 htttps://ww.pca.state.mn.us  •  Available in alternative formats  •  651-296-6300  •  800-657-3864  •  Use your preferred relay service&amp;R&amp;"Arial,Italic"&amp;9Page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1DA42-0C62-4121-850E-4DC526717F6E}">
  <sheetPr codeName="Sheet2">
    <pageSetUpPr fitToPage="1"/>
  </sheetPr>
  <dimension ref="A1:AC60"/>
  <sheetViews>
    <sheetView showGridLines="0" zoomScaleNormal="100" workbookViewId="0">
      <selection activeCell="J13" sqref="J13"/>
    </sheetView>
  </sheetViews>
  <sheetFormatPr defaultColWidth="9.140625" defaultRowHeight="14.25" x14ac:dyDescent="0.2"/>
  <cols>
    <col min="1" max="1" width="15.140625" style="44" customWidth="1"/>
    <col min="2" max="6" width="9.140625" style="44"/>
    <col min="7" max="7" width="10" style="44" customWidth="1"/>
    <col min="8" max="8" width="9.140625" style="44"/>
    <col min="9" max="9" width="36.140625" style="44" customWidth="1"/>
    <col min="10" max="10" width="42.5703125" style="44" customWidth="1"/>
    <col min="11" max="12" width="29.42578125" style="44" customWidth="1"/>
    <col min="13" max="13" width="4" style="44" customWidth="1"/>
    <col min="14" max="14" width="30.5703125" style="44" customWidth="1"/>
    <col min="15" max="16" width="9.140625" style="44"/>
    <col min="17" max="17" width="9.85546875" style="44" bestFit="1" customWidth="1"/>
    <col min="18" max="18" width="10.85546875" style="44" bestFit="1" customWidth="1"/>
    <col min="19" max="19" width="9.140625" style="44"/>
    <col min="20" max="20" width="9.85546875" style="44" bestFit="1" customWidth="1"/>
    <col min="21" max="16384" width="9.140625" style="44"/>
  </cols>
  <sheetData>
    <row r="1" spans="1:29" s="138" customFormat="1" ht="27" customHeight="1" thickBot="1" x14ac:dyDescent="0.4">
      <c r="A1" s="140" t="s">
        <v>2569</v>
      </c>
      <c r="B1" s="139"/>
      <c r="C1" s="139"/>
      <c r="D1" s="139"/>
      <c r="E1" s="139"/>
      <c r="F1" s="139"/>
      <c r="G1" s="139"/>
      <c r="H1" s="139"/>
      <c r="I1" s="139"/>
      <c r="J1" s="139"/>
    </row>
    <row r="3" spans="1:29" ht="15.75" x14ac:dyDescent="0.25">
      <c r="E3" s="206" t="s">
        <v>2240</v>
      </c>
      <c r="G3" s="145" t="s">
        <v>2239</v>
      </c>
      <c r="H3" s="98"/>
      <c r="I3" s="98"/>
      <c r="J3" s="98"/>
    </row>
    <row r="4" spans="1:29" ht="6" customHeight="1" x14ac:dyDescent="0.2"/>
    <row r="5" spans="1:29" ht="6" customHeight="1" x14ac:dyDescent="0.2"/>
    <row r="7" spans="1:29" ht="15" thickBot="1" x14ac:dyDescent="0.25">
      <c r="A7" s="137"/>
      <c r="B7" s="137"/>
      <c r="C7" s="137"/>
      <c r="D7" s="137"/>
      <c r="E7" s="137"/>
      <c r="F7" s="137"/>
      <c r="G7" s="137"/>
      <c r="H7" s="137"/>
      <c r="I7" s="137"/>
      <c r="J7" s="137"/>
    </row>
    <row r="8" spans="1:29" s="124" customFormat="1" ht="15" thickTop="1" x14ac:dyDescent="0.2">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row>
    <row r="9" spans="1:29" ht="15.75" x14ac:dyDescent="0.25">
      <c r="E9" s="206" t="s">
        <v>2238</v>
      </c>
      <c r="G9" s="145" t="s">
        <v>2237</v>
      </c>
      <c r="J9" s="145" t="s">
        <v>2236</v>
      </c>
    </row>
    <row r="10" spans="1:29" ht="6" customHeight="1" x14ac:dyDescent="0.2"/>
    <row r="11" spans="1:29" ht="6" customHeight="1" x14ac:dyDescent="0.2"/>
    <row r="12" spans="1:29" ht="6" customHeight="1" x14ac:dyDescent="0.2"/>
    <row r="13" spans="1:29" x14ac:dyDescent="0.2">
      <c r="B13" s="241" t="s">
        <v>2235</v>
      </c>
      <c r="C13" s="241"/>
      <c r="D13" s="241"/>
      <c r="E13" s="241"/>
      <c r="F13" s="241"/>
      <c r="G13" s="241"/>
      <c r="H13" s="241"/>
      <c r="I13" s="186" t="s">
        <v>972</v>
      </c>
      <c r="J13" s="130"/>
    </row>
    <row r="14" spans="1:29" x14ac:dyDescent="0.2">
      <c r="B14" s="241" t="s">
        <v>2234</v>
      </c>
      <c r="C14" s="241"/>
      <c r="D14" s="241"/>
      <c r="E14" s="241"/>
      <c r="F14" s="241"/>
      <c r="G14" s="241"/>
      <c r="H14" s="241"/>
      <c r="I14" s="186" t="str">
        <f>IF(J14="",VLOOKUP(I13,'Secondary Scores data'!A:C,3,FALSE),J14)</f>
        <v>Adrian</v>
      </c>
      <c r="J14" s="130"/>
    </row>
    <row r="15" spans="1:29" x14ac:dyDescent="0.2">
      <c r="I15" s="136"/>
      <c r="J15" s="186"/>
    </row>
    <row r="16" spans="1:29" x14ac:dyDescent="0.2">
      <c r="A16" s="35"/>
      <c r="B16" s="35"/>
      <c r="C16" s="35"/>
      <c r="D16" s="128" t="s">
        <v>2233</v>
      </c>
      <c r="E16" s="35"/>
      <c r="F16" s="35"/>
      <c r="G16" s="173" t="s">
        <v>2568</v>
      </c>
      <c r="H16" s="35"/>
      <c r="I16" s="35"/>
      <c r="J16" s="35"/>
    </row>
    <row r="17" spans="1:10" ht="9.9499999999999993" customHeight="1" x14ac:dyDescent="0.2">
      <c r="A17" s="35"/>
      <c r="B17" s="35"/>
      <c r="C17" s="35"/>
      <c r="D17" s="128"/>
      <c r="E17" s="35"/>
      <c r="F17" s="35"/>
      <c r="G17" s="35"/>
      <c r="H17" s="35"/>
      <c r="I17" s="35"/>
      <c r="J17" s="35"/>
    </row>
    <row r="18" spans="1:10" s="35" customFormat="1" ht="12.75" x14ac:dyDescent="0.2">
      <c r="F18" s="242" t="s">
        <v>2232</v>
      </c>
      <c r="G18" s="242"/>
      <c r="H18" s="242"/>
      <c r="I18" s="143">
        <f>IF(J18="",VLOOKUP($I$14,'Municipal screener data'!A:H,4,FALSE),J18)</f>
        <v>58333</v>
      </c>
      <c r="J18" s="127"/>
    </row>
    <row r="19" spans="1:10" s="35" customFormat="1" ht="12.75" x14ac:dyDescent="0.2">
      <c r="F19" s="242" t="s">
        <v>2050</v>
      </c>
      <c r="G19" s="242"/>
      <c r="H19" s="242"/>
      <c r="I19" s="142">
        <f>IF(J19="",VLOOKUP($I$14,'Municipal screener data'!A:H,6,TRUE),J19)</f>
        <v>1.5</v>
      </c>
      <c r="J19" s="130"/>
    </row>
    <row r="20" spans="1:10" s="35" customFormat="1" ht="12.75" x14ac:dyDescent="0.2">
      <c r="F20" s="242" t="s">
        <v>2231</v>
      </c>
      <c r="G20" s="242"/>
      <c r="H20" s="242"/>
      <c r="I20" s="142">
        <f>IF(J20="",VLOOKUP($I$14,'Municipal screener data'!A:H,3,FALSE),J20)</f>
        <v>611</v>
      </c>
      <c r="J20" s="130"/>
    </row>
    <row r="21" spans="1:10" x14ac:dyDescent="0.2">
      <c r="A21" s="35"/>
      <c r="B21" s="35"/>
      <c r="C21" s="35"/>
      <c r="D21" s="35"/>
      <c r="E21" s="35"/>
      <c r="F21" s="35"/>
      <c r="G21" s="35"/>
      <c r="H21" s="35"/>
      <c r="I21" s="35"/>
      <c r="J21" s="35"/>
    </row>
    <row r="22" spans="1:10" x14ac:dyDescent="0.2">
      <c r="A22" s="35"/>
      <c r="B22" s="35"/>
      <c r="C22" s="35"/>
      <c r="D22" s="128" t="s">
        <v>2230</v>
      </c>
      <c r="E22" s="35"/>
      <c r="F22" s="35"/>
      <c r="G22" s="173">
        <v>2021</v>
      </c>
      <c r="H22" s="35"/>
      <c r="I22" s="35"/>
      <c r="J22" s="35"/>
    </row>
    <row r="23" spans="1:10" s="35" customFormat="1" ht="2.1" customHeight="1" x14ac:dyDescent="0.2">
      <c r="D23" s="128"/>
    </row>
    <row r="24" spans="1:10" s="35" customFormat="1" ht="12.75" x14ac:dyDescent="0.2">
      <c r="A24" s="242" t="s">
        <v>2229</v>
      </c>
      <c r="B24" s="242"/>
      <c r="C24" s="242"/>
      <c r="D24" s="242"/>
      <c r="E24" s="242"/>
      <c r="F24" s="242"/>
      <c r="G24" s="242"/>
      <c r="H24" s="242"/>
      <c r="I24" s="186" t="str">
        <f>IF(J24="",VLOOKUP($I$14,'Secondary Scores data'!B:K,8,FALSE),J24)</f>
        <v>A+</v>
      </c>
      <c r="J24" s="130"/>
    </row>
    <row r="25" spans="1:10" s="35" customFormat="1" ht="12.75" x14ac:dyDescent="0.2">
      <c r="A25" s="243" t="s">
        <v>2228</v>
      </c>
      <c r="B25" s="243"/>
      <c r="C25" s="243"/>
      <c r="D25" s="243"/>
      <c r="E25" s="243"/>
      <c r="F25" s="243"/>
      <c r="G25" s="243"/>
      <c r="H25" s="243"/>
      <c r="I25" s="135">
        <f>IF(J25="",VLOOKUP($I$14,'Secondary Scores data'!B:K,7,FALSE),J25)</f>
        <v>0</v>
      </c>
      <c r="J25" s="134"/>
    </row>
    <row r="26" spans="1:10" s="35" customFormat="1" ht="12.75" x14ac:dyDescent="0.2">
      <c r="A26" s="243" t="s">
        <v>2227</v>
      </c>
      <c r="B26" s="243"/>
      <c r="C26" s="243"/>
      <c r="D26" s="243"/>
      <c r="E26" s="243"/>
      <c r="F26" s="243"/>
      <c r="G26" s="243"/>
      <c r="H26" s="243"/>
      <c r="I26" s="133">
        <f>IF(J26="",VLOOKUP($I$14,'Secondary Scores data'!B:K,5,FALSE),J26)</f>
        <v>6.9278714274599654E-3</v>
      </c>
      <c r="J26" s="129"/>
    </row>
    <row r="27" spans="1:10" s="35" customFormat="1" ht="12.75" x14ac:dyDescent="0.2">
      <c r="A27" s="242" t="s">
        <v>2226</v>
      </c>
      <c r="B27" s="242"/>
      <c r="C27" s="242"/>
      <c r="D27" s="242"/>
      <c r="E27" s="242"/>
      <c r="F27" s="242"/>
      <c r="G27" s="242"/>
      <c r="H27" s="242"/>
      <c r="I27" s="132">
        <f>IF(J27="",(VLOOKUP('Interface - Substantial impacts'!I13,'WWTP facility data'!A:C,3,FALSE)/0.85),J27)</f>
        <v>12.941176470588236</v>
      </c>
      <c r="J27" s="127"/>
    </row>
    <row r="28" spans="1:10" s="35" customFormat="1" ht="12.75" x14ac:dyDescent="0.2">
      <c r="J28" s="131"/>
    </row>
    <row r="29" spans="1:10" s="35" customFormat="1" ht="12.75" x14ac:dyDescent="0.2">
      <c r="A29" s="242" t="s">
        <v>2225</v>
      </c>
      <c r="B29" s="242"/>
      <c r="C29" s="242"/>
      <c r="D29" s="242"/>
      <c r="E29" s="242"/>
      <c r="F29" s="242"/>
      <c r="G29" s="242"/>
      <c r="H29" s="242"/>
      <c r="I29" s="186">
        <f>IF(J29="",VLOOKUP($I$14,'DW Facility data'!B:P,14,FALSE),J29)</f>
        <v>268344</v>
      </c>
      <c r="J29" s="127"/>
    </row>
    <row r="30" spans="1:10" s="35" customFormat="1" ht="12.75" x14ac:dyDescent="0.2">
      <c r="C30" s="244" t="s">
        <v>2223</v>
      </c>
      <c r="D30" s="245"/>
      <c r="E30" s="245"/>
      <c r="F30" s="245"/>
      <c r="J30" s="130"/>
    </row>
    <row r="31" spans="1:10" s="35" customFormat="1" ht="15.75" customHeight="1" x14ac:dyDescent="0.2">
      <c r="A31" s="242" t="s">
        <v>2224</v>
      </c>
      <c r="B31" s="242"/>
      <c r="C31" s="242"/>
      <c r="D31" s="242"/>
      <c r="E31" s="242"/>
      <c r="F31" s="242"/>
      <c r="G31" s="242"/>
      <c r="H31" s="242"/>
      <c r="I31" s="186">
        <f>IF(J31="",VLOOKUP($I$14,'WWTP facility data'!B:F,3,FALSE),J31)</f>
        <v>268344</v>
      </c>
      <c r="J31" s="127"/>
    </row>
    <row r="32" spans="1:10" s="35" customFormat="1" ht="12.75" x14ac:dyDescent="0.2">
      <c r="C32" s="244" t="s">
        <v>2223</v>
      </c>
      <c r="D32" s="245"/>
      <c r="E32" s="245"/>
      <c r="F32" s="245"/>
      <c r="J32" s="129"/>
    </row>
    <row r="33" spans="1:29" s="35" customFormat="1" ht="12.75" x14ac:dyDescent="0.2">
      <c r="J33" s="129"/>
    </row>
    <row r="34" spans="1:29" s="35" customFormat="1" ht="12.75" x14ac:dyDescent="0.2">
      <c r="A34" s="242" t="s">
        <v>2392</v>
      </c>
      <c r="B34" s="242"/>
      <c r="C34" s="242"/>
      <c r="D34" s="242"/>
      <c r="E34" s="242"/>
      <c r="F34" s="242"/>
      <c r="G34" s="242"/>
      <c r="H34" s="242"/>
      <c r="I34" s="186">
        <f>IF(J34="",VLOOKUP($I$14,'DW Facility data'!B:P,15,FALSE),J34)</f>
        <v>0</v>
      </c>
      <c r="J34" s="127"/>
    </row>
    <row r="35" spans="1:29" s="35" customFormat="1" ht="12.75" x14ac:dyDescent="0.2">
      <c r="J35" s="127"/>
    </row>
    <row r="36" spans="1:29" s="35" customFormat="1" ht="12.75" x14ac:dyDescent="0.2">
      <c r="A36" s="242" t="s">
        <v>2393</v>
      </c>
      <c r="B36" s="242"/>
      <c r="C36" s="242"/>
      <c r="D36" s="242"/>
      <c r="E36" s="242"/>
      <c r="F36" s="242"/>
      <c r="G36" s="242"/>
      <c r="H36" s="242"/>
      <c r="I36" s="186">
        <f>IF(J36="",VLOOKUP($I$14,'WWTP facility data'!B:F,4,FALSE),J36)</f>
        <v>0</v>
      </c>
      <c r="J36" s="127"/>
    </row>
    <row r="37" spans="1:29" s="35" customFormat="1" ht="12.75" x14ac:dyDescent="0.2">
      <c r="J37" s="127"/>
    </row>
    <row r="38" spans="1:29" s="35" customFormat="1" ht="12.75" x14ac:dyDescent="0.2">
      <c r="D38" s="128" t="s">
        <v>2222</v>
      </c>
      <c r="I38" s="186"/>
      <c r="J38" s="127"/>
    </row>
    <row r="39" spans="1:29" s="35" customFormat="1" ht="2.1" customHeight="1" x14ac:dyDescent="0.2">
      <c r="I39" s="186"/>
      <c r="J39" s="127"/>
    </row>
    <row r="40" spans="1:29" s="35" customFormat="1" ht="12.75" x14ac:dyDescent="0.2">
      <c r="A40" s="242" t="s">
        <v>2221</v>
      </c>
      <c r="B40" s="242"/>
      <c r="C40" s="242"/>
      <c r="D40" s="242"/>
      <c r="E40" s="242"/>
      <c r="F40" s="242"/>
      <c r="G40" s="242"/>
      <c r="H40" s="242"/>
      <c r="I40" s="186">
        <f>IF(J40="",20,J40)</f>
        <v>20</v>
      </c>
      <c r="J40" s="127"/>
    </row>
    <row r="41" spans="1:29" s="173" customFormat="1" ht="12.75" x14ac:dyDescent="0.2">
      <c r="A41" s="246" t="s">
        <v>2499</v>
      </c>
      <c r="B41" s="246"/>
      <c r="C41" s="246"/>
      <c r="D41" s="246"/>
      <c r="E41" s="246"/>
      <c r="F41" s="246"/>
      <c r="G41" s="246"/>
      <c r="H41" s="246"/>
      <c r="I41" s="174">
        <f>IF(J41="",1.5%,J41)</f>
        <v>1.4999999999999999E-2</v>
      </c>
      <c r="J41" s="183"/>
    </row>
    <row r="42" spans="1:29" s="35" customFormat="1" ht="12.75" x14ac:dyDescent="0.2">
      <c r="A42" s="242" t="s">
        <v>2498</v>
      </c>
      <c r="B42" s="242"/>
      <c r="C42" s="242"/>
      <c r="D42" s="242"/>
      <c r="E42" s="242"/>
      <c r="F42" s="242"/>
      <c r="G42" s="242"/>
      <c r="H42" s="242"/>
      <c r="I42" s="175">
        <f>IF(J42="",4.65%,J42)</f>
        <v>4.6500000000000007E-2</v>
      </c>
      <c r="J42" s="182"/>
    </row>
    <row r="43" spans="1:29" s="35" customFormat="1" ht="12.75" x14ac:dyDescent="0.2"/>
    <row r="44" spans="1:29" s="35" customFormat="1" ht="13.5" thickBot="1" x14ac:dyDescent="0.25">
      <c r="A44" s="126"/>
      <c r="B44" s="126"/>
      <c r="C44" s="126"/>
      <c r="D44" s="126"/>
      <c r="E44" s="126"/>
      <c r="F44" s="126"/>
      <c r="G44" s="126"/>
      <c r="H44" s="126"/>
      <c r="I44" s="125"/>
      <c r="J44" s="125"/>
    </row>
    <row r="45" spans="1:29" s="124" customFormat="1" ht="15" thickTop="1" x14ac:dyDescent="0.2">
      <c r="A45" s="35"/>
      <c r="B45" s="35"/>
      <c r="C45" s="35"/>
      <c r="D45" s="35"/>
      <c r="E45" s="35"/>
      <c r="F45" s="35"/>
      <c r="G45" s="35"/>
      <c r="H45" s="35"/>
      <c r="I45" s="35"/>
      <c r="J45" s="44"/>
      <c r="K45" s="44"/>
      <c r="L45" s="44"/>
      <c r="M45" s="44"/>
      <c r="N45" s="44"/>
      <c r="O45" s="44"/>
      <c r="P45" s="44"/>
      <c r="Q45" s="44"/>
      <c r="R45" s="44"/>
      <c r="S45" s="44"/>
      <c r="T45" s="44"/>
      <c r="U45" s="44"/>
      <c r="V45" s="44"/>
      <c r="W45" s="44"/>
      <c r="X45" s="44"/>
      <c r="Y45" s="44"/>
      <c r="Z45" s="44"/>
      <c r="AA45" s="44"/>
      <c r="AB45" s="44"/>
      <c r="AC45" s="44"/>
    </row>
    <row r="46" spans="1:29" ht="15" x14ac:dyDescent="0.25">
      <c r="A46" s="35"/>
      <c r="B46" s="35"/>
      <c r="C46" s="35"/>
      <c r="D46" s="35"/>
      <c r="E46" s="207" t="s">
        <v>2220</v>
      </c>
      <c r="F46" s="128"/>
      <c r="G46" s="128" t="s">
        <v>2219</v>
      </c>
      <c r="H46" s="128"/>
      <c r="I46" s="35"/>
      <c r="K46" s="123"/>
      <c r="L46" s="123"/>
    </row>
    <row r="47" spans="1:29" ht="6" customHeight="1" x14ac:dyDescent="0.2">
      <c r="A47" s="35"/>
      <c r="B47" s="35"/>
      <c r="C47" s="35"/>
      <c r="D47" s="203"/>
      <c r="E47" s="203"/>
      <c r="F47" s="203"/>
      <c r="G47" s="203"/>
      <c r="H47" s="203"/>
      <c r="I47" s="35"/>
    </row>
    <row r="48" spans="1:29" ht="6" customHeight="1" thickBot="1" x14ac:dyDescent="0.25">
      <c r="A48" s="35"/>
      <c r="B48" s="35"/>
      <c r="C48" s="35"/>
      <c r="D48" s="35"/>
      <c r="E48" s="35"/>
      <c r="F48" s="35"/>
      <c r="G48" s="35"/>
      <c r="H48" s="35"/>
      <c r="I48" s="35"/>
    </row>
    <row r="49" spans="1:10" s="35" customFormat="1" ht="13.5" thickBot="1" x14ac:dyDescent="0.25">
      <c r="A49" s="242" t="s">
        <v>2218</v>
      </c>
      <c r="B49" s="242"/>
      <c r="C49" s="242"/>
      <c r="D49" s="242"/>
      <c r="E49" s="242"/>
      <c r="F49" s="242"/>
      <c r="G49" s="242"/>
      <c r="H49" s="242"/>
      <c r="I49" s="120"/>
    </row>
    <row r="50" spans="1:10" s="35" customFormat="1" ht="9.9499999999999993" customHeight="1" thickBot="1" x14ac:dyDescent="0.25"/>
    <row r="51" spans="1:10" s="35" customFormat="1" ht="13.5" thickBot="1" x14ac:dyDescent="0.25">
      <c r="A51" s="243" t="s">
        <v>2217</v>
      </c>
      <c r="B51" s="243"/>
      <c r="C51" s="243"/>
      <c r="D51" s="243"/>
      <c r="E51" s="243"/>
      <c r="F51" s="243"/>
      <c r="G51" s="243"/>
      <c r="H51" s="243"/>
      <c r="I51" s="122"/>
      <c r="J51" s="121"/>
    </row>
    <row r="52" spans="1:10" s="35" customFormat="1" ht="9.9499999999999993" customHeight="1" thickBot="1" x14ac:dyDescent="0.25"/>
    <row r="53" spans="1:10" s="35" customFormat="1" ht="13.5" thickBot="1" x14ac:dyDescent="0.25">
      <c r="A53" s="243" t="s">
        <v>2216</v>
      </c>
      <c r="B53" s="243"/>
      <c r="C53" s="243"/>
      <c r="D53" s="243"/>
      <c r="E53" s="243"/>
      <c r="F53" s="243"/>
      <c r="G53" s="243"/>
      <c r="H53" s="243"/>
      <c r="I53" s="122"/>
      <c r="J53" s="121"/>
    </row>
    <row r="54" spans="1:10" s="35" customFormat="1" ht="9.9499999999999993" customHeight="1" thickBot="1" x14ac:dyDescent="0.25"/>
    <row r="55" spans="1:10" s="35" customFormat="1" ht="13.5" thickBot="1" x14ac:dyDescent="0.25">
      <c r="A55" s="243" t="s">
        <v>2215</v>
      </c>
      <c r="B55" s="243"/>
      <c r="C55" s="243"/>
      <c r="D55" s="243"/>
      <c r="E55" s="243"/>
      <c r="F55" s="243"/>
      <c r="G55" s="243"/>
      <c r="H55" s="243"/>
      <c r="I55" s="120"/>
      <c r="J55" s="121"/>
    </row>
    <row r="56" spans="1:10" s="35" customFormat="1" ht="9.9499999999999993" customHeight="1" thickBot="1" x14ac:dyDescent="0.25"/>
    <row r="57" spans="1:10" s="35" customFormat="1" ht="30" hidden="1" customHeight="1" thickBot="1" x14ac:dyDescent="0.25">
      <c r="A57" s="243" t="s">
        <v>2214</v>
      </c>
      <c r="B57" s="243"/>
      <c r="C57" s="243"/>
      <c r="D57" s="243"/>
      <c r="E57" s="243"/>
      <c r="F57" s="243"/>
      <c r="G57" s="243"/>
      <c r="H57" s="243"/>
      <c r="I57" s="120"/>
    </row>
    <row r="58" spans="1:10" s="35" customFormat="1" ht="15" customHeight="1" thickBot="1" x14ac:dyDescent="0.25">
      <c r="A58" s="243" t="s">
        <v>2213</v>
      </c>
      <c r="B58" s="243"/>
      <c r="C58" s="243"/>
      <c r="D58" s="243"/>
      <c r="E58" s="243"/>
      <c r="F58" s="243"/>
      <c r="G58" s="243"/>
      <c r="H58" s="247"/>
      <c r="I58" s="120"/>
    </row>
    <row r="59" spans="1:10" s="35" customFormat="1" ht="2.1" customHeight="1" x14ac:dyDescent="0.2"/>
    <row r="60" spans="1:10" s="35" customFormat="1" ht="12.75" x14ac:dyDescent="0.2">
      <c r="I60" s="208" t="s">
        <v>2212</v>
      </c>
    </row>
  </sheetData>
  <dataConsolidate/>
  <mergeCells count="24">
    <mergeCell ref="A51:H51"/>
    <mergeCell ref="A53:H53"/>
    <mergeCell ref="A55:H55"/>
    <mergeCell ref="A57:H57"/>
    <mergeCell ref="A58:H58"/>
    <mergeCell ref="A24:H24"/>
    <mergeCell ref="A49:H49"/>
    <mergeCell ref="A25:H25"/>
    <mergeCell ref="A26:H26"/>
    <mergeCell ref="A27:H27"/>
    <mergeCell ref="A29:H29"/>
    <mergeCell ref="C30:F30"/>
    <mergeCell ref="A31:H31"/>
    <mergeCell ref="A42:H42"/>
    <mergeCell ref="C32:F32"/>
    <mergeCell ref="A34:H34"/>
    <mergeCell ref="A36:H36"/>
    <mergeCell ref="A40:H40"/>
    <mergeCell ref="A41:H41"/>
    <mergeCell ref="B13:H13"/>
    <mergeCell ref="B14:H14"/>
    <mergeCell ref="F18:H18"/>
    <mergeCell ref="F19:H19"/>
    <mergeCell ref="F20:H20"/>
  </mergeCells>
  <pageMargins left="0.45" right="0.45" top="0.5" bottom="0.75" header="0.3" footer="0.3"/>
  <pageSetup scale="76" fitToWidth="0" orientation="landscape" r:id="rId1"/>
  <headerFooter>
    <oddFooter>&amp;L&amp;"Arial,Italic"&amp;9wq-wwprm2-17  •  8/7/24&amp;C&amp;"Arial,Italic"&amp;9 htttps://ww.pca.state.mn.us  •  Available in alternative formats  •  651-296-6300  •  800-657-3864  •  Use your preferred relay service&amp;R&amp;"Arial,Italic"&amp;9Page &amp;P of &amp;N</oddFooter>
  </headerFooter>
  <drawing r:id="rId2"/>
  <legacyDrawing r:id="rId3"/>
  <controls>
    <mc:AlternateContent xmlns:mc="http://schemas.openxmlformats.org/markup-compatibility/2006">
      <mc:Choice Requires="x14">
        <control shapeId="9219" r:id="rId4" name="ComboBox1">
          <controlPr locked="0" defaultSize="0" autoLine="0" linkedCell="I13" listFillRange="'RO EOP'!$A$2:$A$89" r:id="rId5">
            <anchor moveWithCells="1">
              <from>
                <xdr:col>6</xdr:col>
                <xdr:colOff>209550</xdr:colOff>
                <xdr:row>5</xdr:row>
                <xdr:rowOff>0</xdr:rowOff>
              </from>
              <to>
                <xdr:col>9</xdr:col>
                <xdr:colOff>352425</xdr:colOff>
                <xdr:row>6</xdr:row>
                <xdr:rowOff>85725</xdr:rowOff>
              </to>
            </anchor>
          </controlPr>
        </control>
      </mc:Choice>
      <mc:Fallback>
        <control shapeId="9219" r:id="rId4" name="ComboBox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DB415-2FEB-4ED7-9B70-6E2D3862C7F7}">
  <dimension ref="A1:Q39"/>
  <sheetViews>
    <sheetView showGridLines="0" zoomScaleNormal="100" workbookViewId="0">
      <selection activeCell="I3" sqref="I3:Q9"/>
    </sheetView>
  </sheetViews>
  <sheetFormatPr defaultRowHeight="14.25" x14ac:dyDescent="0.2"/>
  <cols>
    <col min="1" max="6" width="9.140625" style="179"/>
    <col min="7" max="7" width="9.140625" style="179" customWidth="1"/>
    <col min="8" max="8" width="11.85546875" style="179" customWidth="1"/>
    <col min="9" max="263" width="9.140625" style="179"/>
    <col min="264" max="264" width="11.85546875" style="179" customWidth="1"/>
    <col min="265" max="519" width="9.140625" style="179"/>
    <col min="520" max="520" width="11.85546875" style="179" customWidth="1"/>
    <col min="521" max="775" width="9.140625" style="179"/>
    <col min="776" max="776" width="11.85546875" style="179" customWidth="1"/>
    <col min="777" max="1031" width="9.140625" style="179"/>
    <col min="1032" max="1032" width="11.85546875" style="179" customWidth="1"/>
    <col min="1033" max="1287" width="9.140625" style="179"/>
    <col min="1288" max="1288" width="11.85546875" style="179" customWidth="1"/>
    <col min="1289" max="1543" width="9.140625" style="179"/>
    <col min="1544" max="1544" width="11.85546875" style="179" customWidth="1"/>
    <col min="1545" max="1799" width="9.140625" style="179"/>
    <col min="1800" max="1800" width="11.85546875" style="179" customWidth="1"/>
    <col min="1801" max="2055" width="9.140625" style="179"/>
    <col min="2056" max="2056" width="11.85546875" style="179" customWidth="1"/>
    <col min="2057" max="2311" width="9.140625" style="179"/>
    <col min="2312" max="2312" width="11.85546875" style="179" customWidth="1"/>
    <col min="2313" max="2567" width="9.140625" style="179"/>
    <col min="2568" max="2568" width="11.85546875" style="179" customWidth="1"/>
    <col min="2569" max="2823" width="9.140625" style="179"/>
    <col min="2824" max="2824" width="11.85546875" style="179" customWidth="1"/>
    <col min="2825" max="3079" width="9.140625" style="179"/>
    <col min="3080" max="3080" width="11.85546875" style="179" customWidth="1"/>
    <col min="3081" max="3335" width="9.140625" style="179"/>
    <col min="3336" max="3336" width="11.85546875" style="179" customWidth="1"/>
    <col min="3337" max="3591" width="9.140625" style="179"/>
    <col min="3592" max="3592" width="11.85546875" style="179" customWidth="1"/>
    <col min="3593" max="3847" width="9.140625" style="179"/>
    <col min="3848" max="3848" width="11.85546875" style="179" customWidth="1"/>
    <col min="3849" max="4103" width="9.140625" style="179"/>
    <col min="4104" max="4104" width="11.85546875" style="179" customWidth="1"/>
    <col min="4105" max="4359" width="9.140625" style="179"/>
    <col min="4360" max="4360" width="11.85546875" style="179" customWidth="1"/>
    <col min="4361" max="4615" width="9.140625" style="179"/>
    <col min="4616" max="4616" width="11.85546875" style="179" customWidth="1"/>
    <col min="4617" max="4871" width="9.140625" style="179"/>
    <col min="4872" max="4872" width="11.85546875" style="179" customWidth="1"/>
    <col min="4873" max="5127" width="9.140625" style="179"/>
    <col min="5128" max="5128" width="11.85546875" style="179" customWidth="1"/>
    <col min="5129" max="5383" width="9.140625" style="179"/>
    <col min="5384" max="5384" width="11.85546875" style="179" customWidth="1"/>
    <col min="5385" max="5639" width="9.140625" style="179"/>
    <col min="5640" max="5640" width="11.85546875" style="179" customWidth="1"/>
    <col min="5641" max="5895" width="9.140625" style="179"/>
    <col min="5896" max="5896" width="11.85546875" style="179" customWidth="1"/>
    <col min="5897" max="6151" width="9.140625" style="179"/>
    <col min="6152" max="6152" width="11.85546875" style="179" customWidth="1"/>
    <col min="6153" max="6407" width="9.140625" style="179"/>
    <col min="6408" max="6408" width="11.85546875" style="179" customWidth="1"/>
    <col min="6409" max="6663" width="9.140625" style="179"/>
    <col min="6664" max="6664" width="11.85546875" style="179" customWidth="1"/>
    <col min="6665" max="6919" width="9.140625" style="179"/>
    <col min="6920" max="6920" width="11.85546875" style="179" customWidth="1"/>
    <col min="6921" max="7175" width="9.140625" style="179"/>
    <col min="7176" max="7176" width="11.85546875" style="179" customWidth="1"/>
    <col min="7177" max="7431" width="9.140625" style="179"/>
    <col min="7432" max="7432" width="11.85546875" style="179" customWidth="1"/>
    <col min="7433" max="7687" width="9.140625" style="179"/>
    <col min="7688" max="7688" width="11.85546875" style="179" customWidth="1"/>
    <col min="7689" max="7943" width="9.140625" style="179"/>
    <col min="7944" max="7944" width="11.85546875" style="179" customWidth="1"/>
    <col min="7945" max="8199" width="9.140625" style="179"/>
    <col min="8200" max="8200" width="11.85546875" style="179" customWidth="1"/>
    <col min="8201" max="8455" width="9.140625" style="179"/>
    <col min="8456" max="8456" width="11.85546875" style="179" customWidth="1"/>
    <col min="8457" max="8711" width="9.140625" style="179"/>
    <col min="8712" max="8712" width="11.85546875" style="179" customWidth="1"/>
    <col min="8713" max="8967" width="9.140625" style="179"/>
    <col min="8968" max="8968" width="11.85546875" style="179" customWidth="1"/>
    <col min="8969" max="9223" width="9.140625" style="179"/>
    <col min="9224" max="9224" width="11.85546875" style="179" customWidth="1"/>
    <col min="9225" max="9479" width="9.140625" style="179"/>
    <col min="9480" max="9480" width="11.85546875" style="179" customWidth="1"/>
    <col min="9481" max="9735" width="9.140625" style="179"/>
    <col min="9736" max="9736" width="11.85546875" style="179" customWidth="1"/>
    <col min="9737" max="9991" width="9.140625" style="179"/>
    <col min="9992" max="9992" width="11.85546875" style="179" customWidth="1"/>
    <col min="9993" max="10247" width="9.140625" style="179"/>
    <col min="10248" max="10248" width="11.85546875" style="179" customWidth="1"/>
    <col min="10249" max="10503" width="9.140625" style="179"/>
    <col min="10504" max="10504" width="11.85546875" style="179" customWidth="1"/>
    <col min="10505" max="10759" width="9.140625" style="179"/>
    <col min="10760" max="10760" width="11.85546875" style="179" customWidth="1"/>
    <col min="10761" max="11015" width="9.140625" style="179"/>
    <col min="11016" max="11016" width="11.85546875" style="179" customWidth="1"/>
    <col min="11017" max="11271" width="9.140625" style="179"/>
    <col min="11272" max="11272" width="11.85546875" style="179" customWidth="1"/>
    <col min="11273" max="11527" width="9.140625" style="179"/>
    <col min="11528" max="11528" width="11.85546875" style="179" customWidth="1"/>
    <col min="11529" max="11783" width="9.140625" style="179"/>
    <col min="11784" max="11784" width="11.85546875" style="179" customWidth="1"/>
    <col min="11785" max="12039" width="9.140625" style="179"/>
    <col min="12040" max="12040" width="11.85546875" style="179" customWidth="1"/>
    <col min="12041" max="12295" width="9.140625" style="179"/>
    <col min="12296" max="12296" width="11.85546875" style="179" customWidth="1"/>
    <col min="12297" max="12551" width="9.140625" style="179"/>
    <col min="12552" max="12552" width="11.85546875" style="179" customWidth="1"/>
    <col min="12553" max="12807" width="9.140625" style="179"/>
    <col min="12808" max="12808" width="11.85546875" style="179" customWidth="1"/>
    <col min="12809" max="13063" width="9.140625" style="179"/>
    <col min="13064" max="13064" width="11.85546875" style="179" customWidth="1"/>
    <col min="13065" max="13319" width="9.140625" style="179"/>
    <col min="13320" max="13320" width="11.85546875" style="179" customWidth="1"/>
    <col min="13321" max="13575" width="9.140625" style="179"/>
    <col min="13576" max="13576" width="11.85546875" style="179" customWidth="1"/>
    <col min="13577" max="13831" width="9.140625" style="179"/>
    <col min="13832" max="13832" width="11.85546875" style="179" customWidth="1"/>
    <col min="13833" max="14087" width="9.140625" style="179"/>
    <col min="14088" max="14088" width="11.85546875" style="179" customWidth="1"/>
    <col min="14089" max="14343" width="9.140625" style="179"/>
    <col min="14344" max="14344" width="11.85546875" style="179" customWidth="1"/>
    <col min="14345" max="14599" width="9.140625" style="179"/>
    <col min="14600" max="14600" width="11.85546875" style="179" customWidth="1"/>
    <col min="14601" max="14855" width="9.140625" style="179"/>
    <col min="14856" max="14856" width="11.85546875" style="179" customWidth="1"/>
    <col min="14857" max="15111" width="9.140625" style="179"/>
    <col min="15112" max="15112" width="11.85546875" style="179" customWidth="1"/>
    <col min="15113" max="15367" width="9.140625" style="179"/>
    <col min="15368" max="15368" width="11.85546875" style="179" customWidth="1"/>
    <col min="15369" max="15623" width="9.140625" style="179"/>
    <col min="15624" max="15624" width="11.85546875" style="179" customWidth="1"/>
    <col min="15625" max="15879" width="9.140625" style="179"/>
    <col min="15880" max="15880" width="11.85546875" style="179" customWidth="1"/>
    <col min="15881" max="16135" width="9.140625" style="179"/>
    <col min="16136" max="16136" width="11.85546875" style="179" customWidth="1"/>
    <col min="16137" max="16384" width="9.140625" style="179"/>
  </cols>
  <sheetData>
    <row r="1" spans="1:17" s="178" customFormat="1" ht="27" customHeight="1" thickBot="1" x14ac:dyDescent="0.4">
      <c r="A1" s="229" t="s">
        <v>2561</v>
      </c>
      <c r="B1" s="229"/>
      <c r="C1" s="229"/>
      <c r="D1" s="229"/>
      <c r="E1" s="229"/>
      <c r="F1" s="229"/>
      <c r="G1" s="229"/>
      <c r="H1" s="177"/>
      <c r="I1" s="177"/>
      <c r="J1" s="177"/>
      <c r="K1" s="177"/>
      <c r="L1" s="177"/>
      <c r="M1" s="177"/>
      <c r="N1" s="177"/>
      <c r="O1" s="177"/>
      <c r="P1" s="177"/>
      <c r="Q1" s="177"/>
    </row>
    <row r="2" spans="1:17" ht="84" customHeight="1" thickBot="1" x14ac:dyDescent="0.3">
      <c r="A2" s="257" t="s">
        <v>2572</v>
      </c>
      <c r="B2" s="257"/>
      <c r="C2" s="257"/>
      <c r="D2" s="257"/>
      <c r="E2" s="257"/>
      <c r="F2" s="257"/>
      <c r="G2" s="257"/>
      <c r="I2" s="258"/>
      <c r="J2" s="258"/>
      <c r="K2" s="258"/>
      <c r="L2" s="258"/>
      <c r="M2" s="258"/>
      <c r="N2" s="258"/>
      <c r="O2" s="258"/>
      <c r="P2" s="258"/>
      <c r="Q2" s="258"/>
    </row>
    <row r="3" spans="1:17" ht="44.25" customHeight="1" x14ac:dyDescent="0.2">
      <c r="B3" s="248" t="s">
        <v>2562</v>
      </c>
      <c r="C3" s="248"/>
      <c r="D3" s="248"/>
      <c r="E3" s="248"/>
      <c r="F3" s="248"/>
      <c r="G3" s="248"/>
      <c r="H3" s="248"/>
      <c r="I3" s="249" t="s">
        <v>2573</v>
      </c>
      <c r="J3" s="250"/>
      <c r="K3" s="250"/>
      <c r="L3" s="250"/>
      <c r="M3" s="250"/>
      <c r="N3" s="250"/>
      <c r="O3" s="250"/>
      <c r="P3" s="250"/>
      <c r="Q3" s="251"/>
    </row>
    <row r="4" spans="1:17" x14ac:dyDescent="0.2">
      <c r="I4" s="252"/>
      <c r="J4" s="239"/>
      <c r="K4" s="239"/>
      <c r="L4" s="239"/>
      <c r="M4" s="239"/>
      <c r="N4" s="239"/>
      <c r="O4" s="239"/>
      <c r="P4" s="239"/>
      <c r="Q4" s="253"/>
    </row>
    <row r="5" spans="1:17" x14ac:dyDescent="0.2">
      <c r="I5" s="252"/>
      <c r="J5" s="239"/>
      <c r="K5" s="239"/>
      <c r="L5" s="239"/>
      <c r="M5" s="239"/>
      <c r="N5" s="239"/>
      <c r="O5" s="239"/>
      <c r="P5" s="239"/>
      <c r="Q5" s="253"/>
    </row>
    <row r="6" spans="1:17" x14ac:dyDescent="0.2">
      <c r="I6" s="252"/>
      <c r="J6" s="239"/>
      <c r="K6" s="239"/>
      <c r="L6" s="239"/>
      <c r="M6" s="239"/>
      <c r="N6" s="239"/>
      <c r="O6" s="239"/>
      <c r="P6" s="239"/>
      <c r="Q6" s="253"/>
    </row>
    <row r="7" spans="1:17" x14ac:dyDescent="0.2">
      <c r="I7" s="252"/>
      <c r="J7" s="239"/>
      <c r="K7" s="239"/>
      <c r="L7" s="239"/>
      <c r="M7" s="239"/>
      <c r="N7" s="239"/>
      <c r="O7" s="239"/>
      <c r="P7" s="239"/>
      <c r="Q7" s="253"/>
    </row>
    <row r="8" spans="1:17" x14ac:dyDescent="0.2">
      <c r="I8" s="252"/>
      <c r="J8" s="239"/>
      <c r="K8" s="239"/>
      <c r="L8" s="239"/>
      <c r="M8" s="239"/>
      <c r="N8" s="239"/>
      <c r="O8" s="239"/>
      <c r="P8" s="239"/>
      <c r="Q8" s="253"/>
    </row>
    <row r="9" spans="1:17" ht="15" thickBot="1" x14ac:dyDescent="0.25">
      <c r="I9" s="254"/>
      <c r="J9" s="255"/>
      <c r="K9" s="255"/>
      <c r="L9" s="255"/>
      <c r="M9" s="255"/>
      <c r="N9" s="255"/>
      <c r="O9" s="255"/>
      <c r="P9" s="255"/>
      <c r="Q9" s="256"/>
    </row>
    <row r="10" spans="1:17" x14ac:dyDescent="0.2">
      <c r="I10" s="180"/>
      <c r="J10" s="180"/>
      <c r="K10" s="180"/>
      <c r="L10" s="180"/>
      <c r="M10" s="180"/>
      <c r="N10" s="180"/>
      <c r="O10" s="180"/>
      <c r="P10" s="180"/>
      <c r="Q10" s="180"/>
    </row>
    <row r="11" spans="1:17" x14ac:dyDescent="0.2">
      <c r="I11" s="180"/>
      <c r="J11" s="180"/>
      <c r="K11" s="180"/>
      <c r="L11" s="180"/>
      <c r="M11" s="180"/>
      <c r="N11" s="180"/>
      <c r="O11" s="180"/>
      <c r="P11" s="180"/>
      <c r="Q11" s="180"/>
    </row>
    <row r="12" spans="1:17" ht="15" thickBot="1" x14ac:dyDescent="0.25"/>
    <row r="13" spans="1:17" ht="42.75" customHeight="1" x14ac:dyDescent="0.2">
      <c r="B13" s="248" t="s">
        <v>2563</v>
      </c>
      <c r="C13" s="248"/>
      <c r="D13" s="248"/>
      <c r="E13" s="248"/>
      <c r="F13" s="248"/>
      <c r="G13" s="248"/>
      <c r="H13" s="248"/>
      <c r="I13" s="249" t="s">
        <v>2574</v>
      </c>
      <c r="J13" s="250"/>
      <c r="K13" s="250"/>
      <c r="L13" s="250"/>
      <c r="M13" s="250"/>
      <c r="N13" s="250"/>
      <c r="O13" s="250"/>
      <c r="P13" s="250"/>
      <c r="Q13" s="251"/>
    </row>
    <row r="14" spans="1:17" x14ac:dyDescent="0.2">
      <c r="I14" s="252"/>
      <c r="J14" s="239"/>
      <c r="K14" s="239"/>
      <c r="L14" s="239"/>
      <c r="M14" s="239"/>
      <c r="N14" s="239"/>
      <c r="O14" s="239"/>
      <c r="P14" s="239"/>
      <c r="Q14" s="253"/>
    </row>
    <row r="15" spans="1:17" x14ac:dyDescent="0.2">
      <c r="I15" s="252"/>
      <c r="J15" s="239"/>
      <c r="K15" s="239"/>
      <c r="L15" s="239"/>
      <c r="M15" s="239"/>
      <c r="N15" s="239"/>
      <c r="O15" s="239"/>
      <c r="P15" s="239"/>
      <c r="Q15" s="253"/>
    </row>
    <row r="16" spans="1:17" x14ac:dyDescent="0.2">
      <c r="I16" s="252"/>
      <c r="J16" s="239"/>
      <c r="K16" s="239"/>
      <c r="L16" s="239"/>
      <c r="M16" s="239"/>
      <c r="N16" s="239"/>
      <c r="O16" s="239"/>
      <c r="P16" s="239"/>
      <c r="Q16" s="253"/>
    </row>
    <row r="17" spans="2:17" x14ac:dyDescent="0.2">
      <c r="I17" s="252"/>
      <c r="J17" s="239"/>
      <c r="K17" s="239"/>
      <c r="L17" s="239"/>
      <c r="M17" s="239"/>
      <c r="N17" s="239"/>
      <c r="O17" s="239"/>
      <c r="P17" s="239"/>
      <c r="Q17" s="253"/>
    </row>
    <row r="18" spans="2:17" x14ac:dyDescent="0.2">
      <c r="I18" s="252"/>
      <c r="J18" s="239"/>
      <c r="K18" s="239"/>
      <c r="L18" s="239"/>
      <c r="M18" s="239"/>
      <c r="N18" s="239"/>
      <c r="O18" s="239"/>
      <c r="P18" s="239"/>
      <c r="Q18" s="253"/>
    </row>
    <row r="19" spans="2:17" ht="15" thickBot="1" x14ac:dyDescent="0.25">
      <c r="I19" s="254"/>
      <c r="J19" s="255"/>
      <c r="K19" s="255"/>
      <c r="L19" s="255"/>
      <c r="M19" s="255"/>
      <c r="N19" s="255"/>
      <c r="O19" s="255"/>
      <c r="P19" s="255"/>
      <c r="Q19" s="256"/>
    </row>
    <row r="20" spans="2:17" x14ac:dyDescent="0.2">
      <c r="B20" s="209"/>
      <c r="C20" s="209"/>
      <c r="D20" s="209"/>
      <c r="E20" s="209"/>
      <c r="F20" s="209"/>
      <c r="G20" s="209"/>
      <c r="H20" s="209"/>
      <c r="I20" s="209"/>
      <c r="J20" s="209"/>
      <c r="K20" s="209"/>
      <c r="L20" s="209"/>
      <c r="M20" s="209"/>
      <c r="N20" s="209"/>
      <c r="O20" s="209"/>
      <c r="P20" s="209"/>
      <c r="Q20" s="209"/>
    </row>
    <row r="21" spans="2:17" x14ac:dyDescent="0.2">
      <c r="B21" s="209"/>
      <c r="C21" s="209"/>
      <c r="D21" s="209"/>
      <c r="E21" s="209"/>
      <c r="F21" s="209"/>
      <c r="G21" s="209"/>
      <c r="H21" s="209"/>
      <c r="I21" s="209"/>
      <c r="J21" s="209"/>
      <c r="K21" s="209"/>
      <c r="L21" s="209"/>
      <c r="M21" s="209"/>
      <c r="N21" s="209"/>
      <c r="O21" s="209"/>
      <c r="P21" s="209"/>
      <c r="Q21" s="209"/>
    </row>
    <row r="22" spans="2:17" ht="15" thickBot="1" x14ac:dyDescent="0.25">
      <c r="B22" s="209"/>
      <c r="C22" s="209"/>
      <c r="D22" s="209"/>
      <c r="E22" s="209"/>
      <c r="F22" s="209"/>
      <c r="G22" s="209"/>
      <c r="H22" s="209"/>
      <c r="I22" s="209"/>
      <c r="J22" s="209"/>
      <c r="K22" s="209"/>
      <c r="L22" s="209"/>
      <c r="M22" s="209"/>
      <c r="N22" s="209"/>
      <c r="O22" s="209"/>
      <c r="P22" s="209"/>
      <c r="Q22" s="209"/>
    </row>
    <row r="23" spans="2:17" ht="32.25" customHeight="1" x14ac:dyDescent="0.2">
      <c r="B23" s="248" t="s">
        <v>2564</v>
      </c>
      <c r="C23" s="248"/>
      <c r="D23" s="248"/>
      <c r="E23" s="248"/>
      <c r="F23" s="248"/>
      <c r="G23" s="248"/>
      <c r="H23" s="248"/>
      <c r="I23" s="249" t="s">
        <v>2575</v>
      </c>
      <c r="J23" s="250"/>
      <c r="K23" s="250"/>
      <c r="L23" s="250"/>
      <c r="M23" s="250"/>
      <c r="N23" s="250"/>
      <c r="O23" s="250"/>
      <c r="P23" s="250"/>
      <c r="Q23" s="251"/>
    </row>
    <row r="24" spans="2:17" x14ac:dyDescent="0.2">
      <c r="B24" s="209"/>
      <c r="C24" s="209"/>
      <c r="D24" s="209"/>
      <c r="E24" s="209"/>
      <c r="F24" s="209"/>
      <c r="G24" s="209"/>
      <c r="H24" s="209"/>
      <c r="I24" s="252"/>
      <c r="J24" s="239"/>
      <c r="K24" s="239"/>
      <c r="L24" s="239"/>
      <c r="M24" s="239"/>
      <c r="N24" s="239"/>
      <c r="O24" s="239"/>
      <c r="P24" s="239"/>
      <c r="Q24" s="253"/>
    </row>
    <row r="25" spans="2:17" x14ac:dyDescent="0.2">
      <c r="B25" s="209"/>
      <c r="C25" s="209"/>
      <c r="D25" s="209"/>
      <c r="E25" s="209"/>
      <c r="F25" s="209"/>
      <c r="G25" s="209"/>
      <c r="H25" s="209"/>
      <c r="I25" s="252"/>
      <c r="J25" s="239"/>
      <c r="K25" s="239"/>
      <c r="L25" s="239"/>
      <c r="M25" s="239"/>
      <c r="N25" s="239"/>
      <c r="O25" s="239"/>
      <c r="P25" s="239"/>
      <c r="Q25" s="253"/>
    </row>
    <row r="26" spans="2:17" x14ac:dyDescent="0.2">
      <c r="B26" s="209"/>
      <c r="C26" s="209"/>
      <c r="D26" s="209"/>
      <c r="E26" s="209"/>
      <c r="F26" s="209"/>
      <c r="G26" s="209"/>
      <c r="H26" s="209"/>
      <c r="I26" s="252"/>
      <c r="J26" s="239"/>
      <c r="K26" s="239"/>
      <c r="L26" s="239"/>
      <c r="M26" s="239"/>
      <c r="N26" s="239"/>
      <c r="O26" s="239"/>
      <c r="P26" s="239"/>
      <c r="Q26" s="253"/>
    </row>
    <row r="27" spans="2:17" x14ac:dyDescent="0.2">
      <c r="B27" s="209"/>
      <c r="C27" s="209"/>
      <c r="D27" s="209"/>
      <c r="E27" s="209"/>
      <c r="F27" s="209"/>
      <c r="G27" s="209"/>
      <c r="H27" s="209"/>
      <c r="I27" s="252"/>
      <c r="J27" s="239"/>
      <c r="K27" s="239"/>
      <c r="L27" s="239"/>
      <c r="M27" s="239"/>
      <c r="N27" s="239"/>
      <c r="O27" s="239"/>
      <c r="P27" s="239"/>
      <c r="Q27" s="253"/>
    </row>
    <row r="28" spans="2:17" x14ac:dyDescent="0.2">
      <c r="B28" s="209"/>
      <c r="C28" s="209"/>
      <c r="D28" s="209"/>
      <c r="E28" s="209"/>
      <c r="F28" s="209"/>
      <c r="G28" s="209"/>
      <c r="H28" s="209"/>
      <c r="I28" s="252"/>
      <c r="J28" s="239"/>
      <c r="K28" s="239"/>
      <c r="L28" s="239"/>
      <c r="M28" s="239"/>
      <c r="N28" s="239"/>
      <c r="O28" s="239"/>
      <c r="P28" s="239"/>
      <c r="Q28" s="253"/>
    </row>
    <row r="29" spans="2:17" ht="15" thickBot="1" x14ac:dyDescent="0.25">
      <c r="B29" s="209"/>
      <c r="C29" s="209"/>
      <c r="D29" s="209"/>
      <c r="E29" s="209"/>
      <c r="F29" s="209"/>
      <c r="G29" s="209"/>
      <c r="H29" s="209"/>
      <c r="I29" s="254"/>
      <c r="J29" s="255"/>
      <c r="K29" s="255"/>
      <c r="L29" s="255"/>
      <c r="M29" s="255"/>
      <c r="N29" s="255"/>
      <c r="O29" s="255"/>
      <c r="P29" s="255"/>
      <c r="Q29" s="256"/>
    </row>
    <row r="30" spans="2:17" x14ac:dyDescent="0.2">
      <c r="B30" s="209"/>
      <c r="C30" s="209"/>
      <c r="D30" s="209"/>
      <c r="E30" s="209"/>
      <c r="F30" s="209"/>
      <c r="G30" s="209"/>
      <c r="H30" s="209"/>
      <c r="I30" s="209"/>
      <c r="J30" s="209"/>
      <c r="K30" s="209"/>
      <c r="L30" s="209"/>
      <c r="M30" s="209"/>
      <c r="N30" s="209"/>
      <c r="O30" s="209"/>
      <c r="P30" s="209"/>
      <c r="Q30" s="209"/>
    </row>
    <row r="31" spans="2:17" x14ac:dyDescent="0.2">
      <c r="B31" s="209"/>
      <c r="C31" s="209"/>
      <c r="D31" s="209"/>
      <c r="E31" s="209"/>
      <c r="F31" s="209"/>
      <c r="G31" s="209"/>
      <c r="H31" s="209"/>
      <c r="I31" s="209"/>
      <c r="J31" s="209"/>
      <c r="K31" s="209"/>
      <c r="L31" s="209"/>
      <c r="M31" s="209"/>
      <c r="N31" s="209"/>
      <c r="O31" s="209"/>
      <c r="P31" s="209"/>
      <c r="Q31" s="209"/>
    </row>
    <row r="32" spans="2:17" ht="15" thickBot="1" x14ac:dyDescent="0.25">
      <c r="B32" s="209"/>
      <c r="C32" s="209"/>
      <c r="D32" s="209"/>
      <c r="E32" s="209"/>
      <c r="F32" s="209"/>
      <c r="G32" s="209"/>
      <c r="H32" s="209"/>
      <c r="I32" s="209"/>
      <c r="J32" s="209"/>
      <c r="K32" s="209"/>
      <c r="L32" s="209"/>
      <c r="M32" s="209"/>
      <c r="N32" s="209"/>
      <c r="O32" s="209"/>
      <c r="P32" s="209"/>
      <c r="Q32" s="209"/>
    </row>
    <row r="33" spans="2:17" ht="36" customHeight="1" x14ac:dyDescent="0.2">
      <c r="B33" s="248" t="s">
        <v>2565</v>
      </c>
      <c r="C33" s="248"/>
      <c r="D33" s="248"/>
      <c r="E33" s="248"/>
      <c r="F33" s="248"/>
      <c r="G33" s="248"/>
      <c r="H33" s="248"/>
      <c r="I33" s="249" t="s">
        <v>2576</v>
      </c>
      <c r="J33" s="250"/>
      <c r="K33" s="250"/>
      <c r="L33" s="250"/>
      <c r="M33" s="250"/>
      <c r="N33" s="250"/>
      <c r="O33" s="250"/>
      <c r="P33" s="250"/>
      <c r="Q33" s="251"/>
    </row>
    <row r="34" spans="2:17" x14ac:dyDescent="0.2">
      <c r="B34" s="209"/>
      <c r="C34" s="209"/>
      <c r="D34" s="209"/>
      <c r="E34" s="209"/>
      <c r="F34" s="209"/>
      <c r="G34" s="209"/>
      <c r="H34" s="209"/>
      <c r="I34" s="252"/>
      <c r="J34" s="239"/>
      <c r="K34" s="239"/>
      <c r="L34" s="239"/>
      <c r="M34" s="239"/>
      <c r="N34" s="239"/>
      <c r="O34" s="239"/>
      <c r="P34" s="239"/>
      <c r="Q34" s="253"/>
    </row>
    <row r="35" spans="2:17" x14ac:dyDescent="0.2">
      <c r="B35" s="209"/>
      <c r="C35" s="209"/>
      <c r="D35" s="209"/>
      <c r="E35" s="209"/>
      <c r="F35" s="209"/>
      <c r="G35" s="209"/>
      <c r="H35" s="209"/>
      <c r="I35" s="252"/>
      <c r="J35" s="239"/>
      <c r="K35" s="239"/>
      <c r="L35" s="239"/>
      <c r="M35" s="239"/>
      <c r="N35" s="239"/>
      <c r="O35" s="239"/>
      <c r="P35" s="239"/>
      <c r="Q35" s="253"/>
    </row>
    <row r="36" spans="2:17" x14ac:dyDescent="0.2">
      <c r="B36" s="209"/>
      <c r="C36" s="209"/>
      <c r="D36" s="209"/>
      <c r="E36" s="209"/>
      <c r="F36" s="209"/>
      <c r="G36" s="209"/>
      <c r="H36" s="209"/>
      <c r="I36" s="252"/>
      <c r="J36" s="239"/>
      <c r="K36" s="239"/>
      <c r="L36" s="239"/>
      <c r="M36" s="239"/>
      <c r="N36" s="239"/>
      <c r="O36" s="239"/>
      <c r="P36" s="239"/>
      <c r="Q36" s="253"/>
    </row>
    <row r="37" spans="2:17" x14ac:dyDescent="0.2">
      <c r="B37" s="209"/>
      <c r="C37" s="209"/>
      <c r="D37" s="209"/>
      <c r="E37" s="209"/>
      <c r="F37" s="209"/>
      <c r="G37" s="209"/>
      <c r="H37" s="209"/>
      <c r="I37" s="252"/>
      <c r="J37" s="239"/>
      <c r="K37" s="239"/>
      <c r="L37" s="239"/>
      <c r="M37" s="239"/>
      <c r="N37" s="239"/>
      <c r="O37" s="239"/>
      <c r="P37" s="239"/>
      <c r="Q37" s="253"/>
    </row>
    <row r="38" spans="2:17" x14ac:dyDescent="0.2">
      <c r="B38" s="209"/>
      <c r="C38" s="209"/>
      <c r="D38" s="209"/>
      <c r="E38" s="209"/>
      <c r="F38" s="209"/>
      <c r="G38" s="209"/>
      <c r="H38" s="209"/>
      <c r="I38" s="252"/>
      <c r="J38" s="239"/>
      <c r="K38" s="239"/>
      <c r="L38" s="239"/>
      <c r="M38" s="239"/>
      <c r="N38" s="239"/>
      <c r="O38" s="239"/>
      <c r="P38" s="239"/>
      <c r="Q38" s="253"/>
    </row>
    <row r="39" spans="2:17" ht="15" thickBot="1" x14ac:dyDescent="0.25">
      <c r="B39" s="209"/>
      <c r="C39" s="209"/>
      <c r="D39" s="209"/>
      <c r="E39" s="209"/>
      <c r="F39" s="209"/>
      <c r="G39" s="209"/>
      <c r="H39" s="209"/>
      <c r="I39" s="254"/>
      <c r="J39" s="255"/>
      <c r="K39" s="255"/>
      <c r="L39" s="255"/>
      <c r="M39" s="255"/>
      <c r="N39" s="255"/>
      <c r="O39" s="255"/>
      <c r="P39" s="255"/>
      <c r="Q39" s="256"/>
    </row>
  </sheetData>
  <mergeCells count="11">
    <mergeCell ref="B23:H23"/>
    <mergeCell ref="I23:Q29"/>
    <mergeCell ref="B33:H33"/>
    <mergeCell ref="I33:Q39"/>
    <mergeCell ref="A1:G1"/>
    <mergeCell ref="A2:G2"/>
    <mergeCell ref="I2:Q2"/>
    <mergeCell ref="B3:H3"/>
    <mergeCell ref="I3:Q9"/>
    <mergeCell ref="B13:H13"/>
    <mergeCell ref="I13:Q19"/>
  </mergeCells>
  <pageMargins left="0.45" right="0.45" top="0.5" bottom="0.5" header="0.3" footer="0.3"/>
  <pageSetup paperSize="5" scale="89" orientation="landscape" r:id="rId1"/>
  <headerFooter>
    <oddFooter>&amp;L&amp;"Arial,Italic"&amp;9wq-wwprm2-17  •  8/7/24&amp;C&amp;"Arial,Italic"&amp;9 https://www.pca.state.mn.us  •  Available in alternative formats   •  651-296-6300  •  800-657-3864  •  Use your preferred relay service&amp;R&amp;"Arial,Italic"&amp;9Page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409DF-E24E-430F-B6CB-BF45CACCBEB6}">
  <sheetPr codeName="Sheet5"/>
  <dimension ref="A1:N60"/>
  <sheetViews>
    <sheetView workbookViewId="0"/>
  </sheetViews>
  <sheetFormatPr defaultRowHeight="15" x14ac:dyDescent="0.25"/>
  <cols>
    <col min="1" max="1" width="19.28515625" style="119" customWidth="1"/>
    <col min="2" max="2" width="12.5703125" style="119" customWidth="1"/>
    <col min="3" max="5" width="9.140625" style="119"/>
    <col min="6" max="8" width="15.28515625" style="119" bestFit="1" customWidth="1"/>
    <col min="9" max="9" width="14.42578125" style="119" bestFit="1" customWidth="1"/>
    <col min="10" max="12" width="9.140625" style="119"/>
    <col min="13" max="13" width="16.140625" style="119" bestFit="1" customWidth="1"/>
    <col min="14" max="256" width="9.140625" style="119"/>
    <col min="257" max="257" width="19.28515625" style="119" customWidth="1"/>
    <col min="258" max="258" width="12.5703125" style="119" customWidth="1"/>
    <col min="259" max="261" width="9.140625" style="119"/>
    <col min="262" max="264" width="15.28515625" style="119" bestFit="1" customWidth="1"/>
    <col min="265" max="265" width="14.42578125" style="119" bestFit="1" customWidth="1"/>
    <col min="266" max="268" width="9.140625" style="119"/>
    <col min="269" max="269" width="16.140625" style="119" bestFit="1" customWidth="1"/>
    <col min="270" max="512" width="9.140625" style="119"/>
    <col min="513" max="513" width="19.28515625" style="119" customWidth="1"/>
    <col min="514" max="514" width="12.5703125" style="119" customWidth="1"/>
    <col min="515" max="517" width="9.140625" style="119"/>
    <col min="518" max="520" width="15.28515625" style="119" bestFit="1" customWidth="1"/>
    <col min="521" max="521" width="14.42578125" style="119" bestFit="1" customWidth="1"/>
    <col min="522" max="524" width="9.140625" style="119"/>
    <col min="525" max="525" width="16.140625" style="119" bestFit="1" customWidth="1"/>
    <col min="526" max="768" width="9.140625" style="119"/>
    <col min="769" max="769" width="19.28515625" style="119" customWidth="1"/>
    <col min="770" max="770" width="12.5703125" style="119" customWidth="1"/>
    <col min="771" max="773" width="9.140625" style="119"/>
    <col min="774" max="776" width="15.28515625" style="119" bestFit="1" customWidth="1"/>
    <col min="777" max="777" width="14.42578125" style="119" bestFit="1" customWidth="1"/>
    <col min="778" max="780" width="9.140625" style="119"/>
    <col min="781" max="781" width="16.140625" style="119" bestFit="1" customWidth="1"/>
    <col min="782" max="1024" width="9.140625" style="119"/>
    <col min="1025" max="1025" width="19.28515625" style="119" customWidth="1"/>
    <col min="1026" max="1026" width="12.5703125" style="119" customWidth="1"/>
    <col min="1027" max="1029" width="9.140625" style="119"/>
    <col min="1030" max="1032" width="15.28515625" style="119" bestFit="1" customWidth="1"/>
    <col min="1033" max="1033" width="14.42578125" style="119" bestFit="1" customWidth="1"/>
    <col min="1034" max="1036" width="9.140625" style="119"/>
    <col min="1037" max="1037" width="16.140625" style="119" bestFit="1" customWidth="1"/>
    <col min="1038" max="1280" width="9.140625" style="119"/>
    <col min="1281" max="1281" width="19.28515625" style="119" customWidth="1"/>
    <col min="1282" max="1282" width="12.5703125" style="119" customWidth="1"/>
    <col min="1283" max="1285" width="9.140625" style="119"/>
    <col min="1286" max="1288" width="15.28515625" style="119" bestFit="1" customWidth="1"/>
    <col min="1289" max="1289" width="14.42578125" style="119" bestFit="1" customWidth="1"/>
    <col min="1290" max="1292" width="9.140625" style="119"/>
    <col min="1293" max="1293" width="16.140625" style="119" bestFit="1" customWidth="1"/>
    <col min="1294" max="1536" width="9.140625" style="119"/>
    <col min="1537" max="1537" width="19.28515625" style="119" customWidth="1"/>
    <col min="1538" max="1538" width="12.5703125" style="119" customWidth="1"/>
    <col min="1539" max="1541" width="9.140625" style="119"/>
    <col min="1542" max="1544" width="15.28515625" style="119" bestFit="1" customWidth="1"/>
    <col min="1545" max="1545" width="14.42578125" style="119" bestFit="1" customWidth="1"/>
    <col min="1546" max="1548" width="9.140625" style="119"/>
    <col min="1549" max="1549" width="16.140625" style="119" bestFit="1" customWidth="1"/>
    <col min="1550" max="1792" width="9.140625" style="119"/>
    <col min="1793" max="1793" width="19.28515625" style="119" customWidth="1"/>
    <col min="1794" max="1794" width="12.5703125" style="119" customWidth="1"/>
    <col min="1795" max="1797" width="9.140625" style="119"/>
    <col min="1798" max="1800" width="15.28515625" style="119" bestFit="1" customWidth="1"/>
    <col min="1801" max="1801" width="14.42578125" style="119" bestFit="1" customWidth="1"/>
    <col min="1802" max="1804" width="9.140625" style="119"/>
    <col min="1805" max="1805" width="16.140625" style="119" bestFit="1" customWidth="1"/>
    <col min="1806" max="2048" width="9.140625" style="119"/>
    <col min="2049" max="2049" width="19.28515625" style="119" customWidth="1"/>
    <col min="2050" max="2050" width="12.5703125" style="119" customWidth="1"/>
    <col min="2051" max="2053" width="9.140625" style="119"/>
    <col min="2054" max="2056" width="15.28515625" style="119" bestFit="1" customWidth="1"/>
    <col min="2057" max="2057" width="14.42578125" style="119" bestFit="1" customWidth="1"/>
    <col min="2058" max="2060" width="9.140625" style="119"/>
    <col min="2061" max="2061" width="16.140625" style="119" bestFit="1" customWidth="1"/>
    <col min="2062" max="2304" width="9.140625" style="119"/>
    <col min="2305" max="2305" width="19.28515625" style="119" customWidth="1"/>
    <col min="2306" max="2306" width="12.5703125" style="119" customWidth="1"/>
    <col min="2307" max="2309" width="9.140625" style="119"/>
    <col min="2310" max="2312" width="15.28515625" style="119" bestFit="1" customWidth="1"/>
    <col min="2313" max="2313" width="14.42578125" style="119" bestFit="1" customWidth="1"/>
    <col min="2314" max="2316" width="9.140625" style="119"/>
    <col min="2317" max="2317" width="16.140625" style="119" bestFit="1" customWidth="1"/>
    <col min="2318" max="2560" width="9.140625" style="119"/>
    <col min="2561" max="2561" width="19.28515625" style="119" customWidth="1"/>
    <col min="2562" max="2562" width="12.5703125" style="119" customWidth="1"/>
    <col min="2563" max="2565" width="9.140625" style="119"/>
    <col min="2566" max="2568" width="15.28515625" style="119" bestFit="1" customWidth="1"/>
    <col min="2569" max="2569" width="14.42578125" style="119" bestFit="1" customWidth="1"/>
    <col min="2570" max="2572" width="9.140625" style="119"/>
    <col min="2573" max="2573" width="16.140625" style="119" bestFit="1" customWidth="1"/>
    <col min="2574" max="2816" width="9.140625" style="119"/>
    <col min="2817" max="2817" width="19.28515625" style="119" customWidth="1"/>
    <col min="2818" max="2818" width="12.5703125" style="119" customWidth="1"/>
    <col min="2819" max="2821" width="9.140625" style="119"/>
    <col min="2822" max="2824" width="15.28515625" style="119" bestFit="1" customWidth="1"/>
    <col min="2825" max="2825" width="14.42578125" style="119" bestFit="1" customWidth="1"/>
    <col min="2826" max="2828" width="9.140625" style="119"/>
    <col min="2829" max="2829" width="16.140625" style="119" bestFit="1" customWidth="1"/>
    <col min="2830" max="3072" width="9.140625" style="119"/>
    <col min="3073" max="3073" width="19.28515625" style="119" customWidth="1"/>
    <col min="3074" max="3074" width="12.5703125" style="119" customWidth="1"/>
    <col min="3075" max="3077" width="9.140625" style="119"/>
    <col min="3078" max="3080" width="15.28515625" style="119" bestFit="1" customWidth="1"/>
    <col min="3081" max="3081" width="14.42578125" style="119" bestFit="1" customWidth="1"/>
    <col min="3082" max="3084" width="9.140625" style="119"/>
    <col min="3085" max="3085" width="16.140625" style="119" bestFit="1" customWidth="1"/>
    <col min="3086" max="3328" width="9.140625" style="119"/>
    <col min="3329" max="3329" width="19.28515625" style="119" customWidth="1"/>
    <col min="3330" max="3330" width="12.5703125" style="119" customWidth="1"/>
    <col min="3331" max="3333" width="9.140625" style="119"/>
    <col min="3334" max="3336" width="15.28515625" style="119" bestFit="1" customWidth="1"/>
    <col min="3337" max="3337" width="14.42578125" style="119" bestFit="1" customWidth="1"/>
    <col min="3338" max="3340" width="9.140625" style="119"/>
    <col min="3341" max="3341" width="16.140625" style="119" bestFit="1" customWidth="1"/>
    <col min="3342" max="3584" width="9.140625" style="119"/>
    <col min="3585" max="3585" width="19.28515625" style="119" customWidth="1"/>
    <col min="3586" max="3586" width="12.5703125" style="119" customWidth="1"/>
    <col min="3587" max="3589" width="9.140625" style="119"/>
    <col min="3590" max="3592" width="15.28515625" style="119" bestFit="1" customWidth="1"/>
    <col min="3593" max="3593" width="14.42578125" style="119" bestFit="1" customWidth="1"/>
    <col min="3594" max="3596" width="9.140625" style="119"/>
    <col min="3597" max="3597" width="16.140625" style="119" bestFit="1" customWidth="1"/>
    <col min="3598" max="3840" width="9.140625" style="119"/>
    <col min="3841" max="3841" width="19.28515625" style="119" customWidth="1"/>
    <col min="3842" max="3842" width="12.5703125" style="119" customWidth="1"/>
    <col min="3843" max="3845" width="9.140625" style="119"/>
    <col min="3846" max="3848" width="15.28515625" style="119" bestFit="1" customWidth="1"/>
    <col min="3849" max="3849" width="14.42578125" style="119" bestFit="1" customWidth="1"/>
    <col min="3850" max="3852" width="9.140625" style="119"/>
    <col min="3853" max="3853" width="16.140625" style="119" bestFit="1" customWidth="1"/>
    <col min="3854" max="4096" width="9.140625" style="119"/>
    <col min="4097" max="4097" width="19.28515625" style="119" customWidth="1"/>
    <col min="4098" max="4098" width="12.5703125" style="119" customWidth="1"/>
    <col min="4099" max="4101" width="9.140625" style="119"/>
    <col min="4102" max="4104" width="15.28515625" style="119" bestFit="1" customWidth="1"/>
    <col min="4105" max="4105" width="14.42578125" style="119" bestFit="1" customWidth="1"/>
    <col min="4106" max="4108" width="9.140625" style="119"/>
    <col min="4109" max="4109" width="16.140625" style="119" bestFit="1" customWidth="1"/>
    <col min="4110" max="4352" width="9.140625" style="119"/>
    <col min="4353" max="4353" width="19.28515625" style="119" customWidth="1"/>
    <col min="4354" max="4354" width="12.5703125" style="119" customWidth="1"/>
    <col min="4355" max="4357" width="9.140625" style="119"/>
    <col min="4358" max="4360" width="15.28515625" style="119" bestFit="1" customWidth="1"/>
    <col min="4361" max="4361" width="14.42578125" style="119" bestFit="1" customWidth="1"/>
    <col min="4362" max="4364" width="9.140625" style="119"/>
    <col min="4365" max="4365" width="16.140625" style="119" bestFit="1" customWidth="1"/>
    <col min="4366" max="4608" width="9.140625" style="119"/>
    <col min="4609" max="4609" width="19.28515625" style="119" customWidth="1"/>
    <col min="4610" max="4610" width="12.5703125" style="119" customWidth="1"/>
    <col min="4611" max="4613" width="9.140625" style="119"/>
    <col min="4614" max="4616" width="15.28515625" style="119" bestFit="1" customWidth="1"/>
    <col min="4617" max="4617" width="14.42578125" style="119" bestFit="1" customWidth="1"/>
    <col min="4618" max="4620" width="9.140625" style="119"/>
    <col min="4621" max="4621" width="16.140625" style="119" bestFit="1" customWidth="1"/>
    <col min="4622" max="4864" width="9.140625" style="119"/>
    <col min="4865" max="4865" width="19.28515625" style="119" customWidth="1"/>
    <col min="4866" max="4866" width="12.5703125" style="119" customWidth="1"/>
    <col min="4867" max="4869" width="9.140625" style="119"/>
    <col min="4870" max="4872" width="15.28515625" style="119" bestFit="1" customWidth="1"/>
    <col min="4873" max="4873" width="14.42578125" style="119" bestFit="1" customWidth="1"/>
    <col min="4874" max="4876" width="9.140625" style="119"/>
    <col min="4877" max="4877" width="16.140625" style="119" bestFit="1" customWidth="1"/>
    <col min="4878" max="5120" width="9.140625" style="119"/>
    <col min="5121" max="5121" width="19.28515625" style="119" customWidth="1"/>
    <col min="5122" max="5122" width="12.5703125" style="119" customWidth="1"/>
    <col min="5123" max="5125" width="9.140625" style="119"/>
    <col min="5126" max="5128" width="15.28515625" style="119" bestFit="1" customWidth="1"/>
    <col min="5129" max="5129" width="14.42578125" style="119" bestFit="1" customWidth="1"/>
    <col min="5130" max="5132" width="9.140625" style="119"/>
    <col min="5133" max="5133" width="16.140625" style="119" bestFit="1" customWidth="1"/>
    <col min="5134" max="5376" width="9.140625" style="119"/>
    <col min="5377" max="5377" width="19.28515625" style="119" customWidth="1"/>
    <col min="5378" max="5378" width="12.5703125" style="119" customWidth="1"/>
    <col min="5379" max="5381" width="9.140625" style="119"/>
    <col min="5382" max="5384" width="15.28515625" style="119" bestFit="1" customWidth="1"/>
    <col min="5385" max="5385" width="14.42578125" style="119" bestFit="1" customWidth="1"/>
    <col min="5386" max="5388" width="9.140625" style="119"/>
    <col min="5389" max="5389" width="16.140625" style="119" bestFit="1" customWidth="1"/>
    <col min="5390" max="5632" width="9.140625" style="119"/>
    <col min="5633" max="5633" width="19.28515625" style="119" customWidth="1"/>
    <col min="5634" max="5634" width="12.5703125" style="119" customWidth="1"/>
    <col min="5635" max="5637" width="9.140625" style="119"/>
    <col min="5638" max="5640" width="15.28515625" style="119" bestFit="1" customWidth="1"/>
    <col min="5641" max="5641" width="14.42578125" style="119" bestFit="1" customWidth="1"/>
    <col min="5642" max="5644" width="9.140625" style="119"/>
    <col min="5645" max="5645" width="16.140625" style="119" bestFit="1" customWidth="1"/>
    <col min="5646" max="5888" width="9.140625" style="119"/>
    <col min="5889" max="5889" width="19.28515625" style="119" customWidth="1"/>
    <col min="5890" max="5890" width="12.5703125" style="119" customWidth="1"/>
    <col min="5891" max="5893" width="9.140625" style="119"/>
    <col min="5894" max="5896" width="15.28515625" style="119" bestFit="1" customWidth="1"/>
    <col min="5897" max="5897" width="14.42578125" style="119" bestFit="1" customWidth="1"/>
    <col min="5898" max="5900" width="9.140625" style="119"/>
    <col min="5901" max="5901" width="16.140625" style="119" bestFit="1" customWidth="1"/>
    <col min="5902" max="6144" width="9.140625" style="119"/>
    <col min="6145" max="6145" width="19.28515625" style="119" customWidth="1"/>
    <col min="6146" max="6146" width="12.5703125" style="119" customWidth="1"/>
    <col min="6147" max="6149" width="9.140625" style="119"/>
    <col min="6150" max="6152" width="15.28515625" style="119" bestFit="1" customWidth="1"/>
    <col min="6153" max="6153" width="14.42578125" style="119" bestFit="1" customWidth="1"/>
    <col min="6154" max="6156" width="9.140625" style="119"/>
    <col min="6157" max="6157" width="16.140625" style="119" bestFit="1" customWidth="1"/>
    <col min="6158" max="6400" width="9.140625" style="119"/>
    <col min="6401" max="6401" width="19.28515625" style="119" customWidth="1"/>
    <col min="6402" max="6402" width="12.5703125" style="119" customWidth="1"/>
    <col min="6403" max="6405" width="9.140625" style="119"/>
    <col min="6406" max="6408" width="15.28515625" style="119" bestFit="1" customWidth="1"/>
    <col min="6409" max="6409" width="14.42578125" style="119" bestFit="1" customWidth="1"/>
    <col min="6410" max="6412" width="9.140625" style="119"/>
    <col min="6413" max="6413" width="16.140625" style="119" bestFit="1" customWidth="1"/>
    <col min="6414" max="6656" width="9.140625" style="119"/>
    <col min="6657" max="6657" width="19.28515625" style="119" customWidth="1"/>
    <col min="6658" max="6658" width="12.5703125" style="119" customWidth="1"/>
    <col min="6659" max="6661" width="9.140625" style="119"/>
    <col min="6662" max="6664" width="15.28515625" style="119" bestFit="1" customWidth="1"/>
    <col min="6665" max="6665" width="14.42578125" style="119" bestFit="1" customWidth="1"/>
    <col min="6666" max="6668" width="9.140625" style="119"/>
    <col min="6669" max="6669" width="16.140625" style="119" bestFit="1" customWidth="1"/>
    <col min="6670" max="6912" width="9.140625" style="119"/>
    <col min="6913" max="6913" width="19.28515625" style="119" customWidth="1"/>
    <col min="6914" max="6914" width="12.5703125" style="119" customWidth="1"/>
    <col min="6915" max="6917" width="9.140625" style="119"/>
    <col min="6918" max="6920" width="15.28515625" style="119" bestFit="1" customWidth="1"/>
    <col min="6921" max="6921" width="14.42578125" style="119" bestFit="1" customWidth="1"/>
    <col min="6922" max="6924" width="9.140625" style="119"/>
    <col min="6925" max="6925" width="16.140625" style="119" bestFit="1" customWidth="1"/>
    <col min="6926" max="7168" width="9.140625" style="119"/>
    <col min="7169" max="7169" width="19.28515625" style="119" customWidth="1"/>
    <col min="7170" max="7170" width="12.5703125" style="119" customWidth="1"/>
    <col min="7171" max="7173" width="9.140625" style="119"/>
    <col min="7174" max="7176" width="15.28515625" style="119" bestFit="1" customWidth="1"/>
    <col min="7177" max="7177" width="14.42578125" style="119" bestFit="1" customWidth="1"/>
    <col min="7178" max="7180" width="9.140625" style="119"/>
    <col min="7181" max="7181" width="16.140625" style="119" bestFit="1" customWidth="1"/>
    <col min="7182" max="7424" width="9.140625" style="119"/>
    <col min="7425" max="7425" width="19.28515625" style="119" customWidth="1"/>
    <col min="7426" max="7426" width="12.5703125" style="119" customWidth="1"/>
    <col min="7427" max="7429" width="9.140625" style="119"/>
    <col min="7430" max="7432" width="15.28515625" style="119" bestFit="1" customWidth="1"/>
    <col min="7433" max="7433" width="14.42578125" style="119" bestFit="1" customWidth="1"/>
    <col min="7434" max="7436" width="9.140625" style="119"/>
    <col min="7437" max="7437" width="16.140625" style="119" bestFit="1" customWidth="1"/>
    <col min="7438" max="7680" width="9.140625" style="119"/>
    <col min="7681" max="7681" width="19.28515625" style="119" customWidth="1"/>
    <col min="7682" max="7682" width="12.5703125" style="119" customWidth="1"/>
    <col min="7683" max="7685" width="9.140625" style="119"/>
    <col min="7686" max="7688" width="15.28515625" style="119" bestFit="1" customWidth="1"/>
    <col min="7689" max="7689" width="14.42578125" style="119" bestFit="1" customWidth="1"/>
    <col min="7690" max="7692" width="9.140625" style="119"/>
    <col min="7693" max="7693" width="16.140625" style="119" bestFit="1" customWidth="1"/>
    <col min="7694" max="7936" width="9.140625" style="119"/>
    <col min="7937" max="7937" width="19.28515625" style="119" customWidth="1"/>
    <col min="7938" max="7938" width="12.5703125" style="119" customWidth="1"/>
    <col min="7939" max="7941" width="9.140625" style="119"/>
    <col min="7942" max="7944" width="15.28515625" style="119" bestFit="1" customWidth="1"/>
    <col min="7945" max="7945" width="14.42578125" style="119" bestFit="1" customWidth="1"/>
    <col min="7946" max="7948" width="9.140625" style="119"/>
    <col min="7949" max="7949" width="16.140625" style="119" bestFit="1" customWidth="1"/>
    <col min="7950" max="8192" width="9.140625" style="119"/>
    <col min="8193" max="8193" width="19.28515625" style="119" customWidth="1"/>
    <col min="8194" max="8194" width="12.5703125" style="119" customWidth="1"/>
    <col min="8195" max="8197" width="9.140625" style="119"/>
    <col min="8198" max="8200" width="15.28515625" style="119" bestFit="1" customWidth="1"/>
    <col min="8201" max="8201" width="14.42578125" style="119" bestFit="1" customWidth="1"/>
    <col min="8202" max="8204" width="9.140625" style="119"/>
    <col min="8205" max="8205" width="16.140625" style="119" bestFit="1" customWidth="1"/>
    <col min="8206" max="8448" width="9.140625" style="119"/>
    <col min="8449" max="8449" width="19.28515625" style="119" customWidth="1"/>
    <col min="8450" max="8450" width="12.5703125" style="119" customWidth="1"/>
    <col min="8451" max="8453" width="9.140625" style="119"/>
    <col min="8454" max="8456" width="15.28515625" style="119" bestFit="1" customWidth="1"/>
    <col min="8457" max="8457" width="14.42578125" style="119" bestFit="1" customWidth="1"/>
    <col min="8458" max="8460" width="9.140625" style="119"/>
    <col min="8461" max="8461" width="16.140625" style="119" bestFit="1" customWidth="1"/>
    <col min="8462" max="8704" width="9.140625" style="119"/>
    <col min="8705" max="8705" width="19.28515625" style="119" customWidth="1"/>
    <col min="8706" max="8706" width="12.5703125" style="119" customWidth="1"/>
    <col min="8707" max="8709" width="9.140625" style="119"/>
    <col min="8710" max="8712" width="15.28515625" style="119" bestFit="1" customWidth="1"/>
    <col min="8713" max="8713" width="14.42578125" style="119" bestFit="1" customWidth="1"/>
    <col min="8714" max="8716" width="9.140625" style="119"/>
    <col min="8717" max="8717" width="16.140625" style="119" bestFit="1" customWidth="1"/>
    <col min="8718" max="8960" width="9.140625" style="119"/>
    <col min="8961" max="8961" width="19.28515625" style="119" customWidth="1"/>
    <col min="8962" max="8962" width="12.5703125" style="119" customWidth="1"/>
    <col min="8963" max="8965" width="9.140625" style="119"/>
    <col min="8966" max="8968" width="15.28515625" style="119" bestFit="1" customWidth="1"/>
    <col min="8969" max="8969" width="14.42578125" style="119" bestFit="1" customWidth="1"/>
    <col min="8970" max="8972" width="9.140625" style="119"/>
    <col min="8973" max="8973" width="16.140625" style="119" bestFit="1" customWidth="1"/>
    <col min="8974" max="9216" width="9.140625" style="119"/>
    <col min="9217" max="9217" width="19.28515625" style="119" customWidth="1"/>
    <col min="9218" max="9218" width="12.5703125" style="119" customWidth="1"/>
    <col min="9219" max="9221" width="9.140625" style="119"/>
    <col min="9222" max="9224" width="15.28515625" style="119" bestFit="1" customWidth="1"/>
    <col min="9225" max="9225" width="14.42578125" style="119" bestFit="1" customWidth="1"/>
    <col min="9226" max="9228" width="9.140625" style="119"/>
    <col min="9229" max="9229" width="16.140625" style="119" bestFit="1" customWidth="1"/>
    <col min="9230" max="9472" width="9.140625" style="119"/>
    <col min="9473" max="9473" width="19.28515625" style="119" customWidth="1"/>
    <col min="9474" max="9474" width="12.5703125" style="119" customWidth="1"/>
    <col min="9475" max="9477" width="9.140625" style="119"/>
    <col min="9478" max="9480" width="15.28515625" style="119" bestFit="1" customWidth="1"/>
    <col min="9481" max="9481" width="14.42578125" style="119" bestFit="1" customWidth="1"/>
    <col min="9482" max="9484" width="9.140625" style="119"/>
    <col min="9485" max="9485" width="16.140625" style="119" bestFit="1" customWidth="1"/>
    <col min="9486" max="9728" width="9.140625" style="119"/>
    <col min="9729" max="9729" width="19.28515625" style="119" customWidth="1"/>
    <col min="9730" max="9730" width="12.5703125" style="119" customWidth="1"/>
    <col min="9731" max="9733" width="9.140625" style="119"/>
    <col min="9734" max="9736" width="15.28515625" style="119" bestFit="1" customWidth="1"/>
    <col min="9737" max="9737" width="14.42578125" style="119" bestFit="1" customWidth="1"/>
    <col min="9738" max="9740" width="9.140625" style="119"/>
    <col min="9741" max="9741" width="16.140625" style="119" bestFit="1" customWidth="1"/>
    <col min="9742" max="9984" width="9.140625" style="119"/>
    <col min="9985" max="9985" width="19.28515625" style="119" customWidth="1"/>
    <col min="9986" max="9986" width="12.5703125" style="119" customWidth="1"/>
    <col min="9987" max="9989" width="9.140625" style="119"/>
    <col min="9990" max="9992" width="15.28515625" style="119" bestFit="1" customWidth="1"/>
    <col min="9993" max="9993" width="14.42578125" style="119" bestFit="1" customWidth="1"/>
    <col min="9994" max="9996" width="9.140625" style="119"/>
    <col min="9997" max="9997" width="16.140625" style="119" bestFit="1" customWidth="1"/>
    <col min="9998" max="10240" width="9.140625" style="119"/>
    <col min="10241" max="10241" width="19.28515625" style="119" customWidth="1"/>
    <col min="10242" max="10242" width="12.5703125" style="119" customWidth="1"/>
    <col min="10243" max="10245" width="9.140625" style="119"/>
    <col min="10246" max="10248" width="15.28515625" style="119" bestFit="1" customWidth="1"/>
    <col min="10249" max="10249" width="14.42578125" style="119" bestFit="1" customWidth="1"/>
    <col min="10250" max="10252" width="9.140625" style="119"/>
    <col min="10253" max="10253" width="16.140625" style="119" bestFit="1" customWidth="1"/>
    <col min="10254" max="10496" width="9.140625" style="119"/>
    <col min="10497" max="10497" width="19.28515625" style="119" customWidth="1"/>
    <col min="10498" max="10498" width="12.5703125" style="119" customWidth="1"/>
    <col min="10499" max="10501" width="9.140625" style="119"/>
    <col min="10502" max="10504" width="15.28515625" style="119" bestFit="1" customWidth="1"/>
    <col min="10505" max="10505" width="14.42578125" style="119" bestFit="1" customWidth="1"/>
    <col min="10506" max="10508" width="9.140625" style="119"/>
    <col min="10509" max="10509" width="16.140625" style="119" bestFit="1" customWidth="1"/>
    <col min="10510" max="10752" width="9.140625" style="119"/>
    <col min="10753" max="10753" width="19.28515625" style="119" customWidth="1"/>
    <col min="10754" max="10754" width="12.5703125" style="119" customWidth="1"/>
    <col min="10755" max="10757" width="9.140625" style="119"/>
    <col min="10758" max="10760" width="15.28515625" style="119" bestFit="1" customWidth="1"/>
    <col min="10761" max="10761" width="14.42578125" style="119" bestFit="1" customWidth="1"/>
    <col min="10762" max="10764" width="9.140625" style="119"/>
    <col min="10765" max="10765" width="16.140625" style="119" bestFit="1" customWidth="1"/>
    <col min="10766" max="11008" width="9.140625" style="119"/>
    <col min="11009" max="11009" width="19.28515625" style="119" customWidth="1"/>
    <col min="11010" max="11010" width="12.5703125" style="119" customWidth="1"/>
    <col min="11011" max="11013" width="9.140625" style="119"/>
    <col min="11014" max="11016" width="15.28515625" style="119" bestFit="1" customWidth="1"/>
    <col min="11017" max="11017" width="14.42578125" style="119" bestFit="1" customWidth="1"/>
    <col min="11018" max="11020" width="9.140625" style="119"/>
    <col min="11021" max="11021" width="16.140625" style="119" bestFit="1" customWidth="1"/>
    <col min="11022" max="11264" width="9.140625" style="119"/>
    <col min="11265" max="11265" width="19.28515625" style="119" customWidth="1"/>
    <col min="11266" max="11266" width="12.5703125" style="119" customWidth="1"/>
    <col min="11267" max="11269" width="9.140625" style="119"/>
    <col min="11270" max="11272" width="15.28515625" style="119" bestFit="1" customWidth="1"/>
    <col min="11273" max="11273" width="14.42578125" style="119" bestFit="1" customWidth="1"/>
    <col min="11274" max="11276" width="9.140625" style="119"/>
    <col min="11277" max="11277" width="16.140625" style="119" bestFit="1" customWidth="1"/>
    <col min="11278" max="11520" width="9.140625" style="119"/>
    <col min="11521" max="11521" width="19.28515625" style="119" customWidth="1"/>
    <col min="11522" max="11522" width="12.5703125" style="119" customWidth="1"/>
    <col min="11523" max="11525" width="9.140625" style="119"/>
    <col min="11526" max="11528" width="15.28515625" style="119" bestFit="1" customWidth="1"/>
    <col min="11529" max="11529" width="14.42578125" style="119" bestFit="1" customWidth="1"/>
    <col min="11530" max="11532" width="9.140625" style="119"/>
    <col min="11533" max="11533" width="16.140625" style="119" bestFit="1" customWidth="1"/>
    <col min="11534" max="11776" width="9.140625" style="119"/>
    <col min="11777" max="11777" width="19.28515625" style="119" customWidth="1"/>
    <col min="11778" max="11778" width="12.5703125" style="119" customWidth="1"/>
    <col min="11779" max="11781" width="9.140625" style="119"/>
    <col min="11782" max="11784" width="15.28515625" style="119" bestFit="1" customWidth="1"/>
    <col min="11785" max="11785" width="14.42578125" style="119" bestFit="1" customWidth="1"/>
    <col min="11786" max="11788" width="9.140625" style="119"/>
    <col min="11789" max="11789" width="16.140625" style="119" bestFit="1" customWidth="1"/>
    <col min="11790" max="12032" width="9.140625" style="119"/>
    <col min="12033" max="12033" width="19.28515625" style="119" customWidth="1"/>
    <col min="12034" max="12034" width="12.5703125" style="119" customWidth="1"/>
    <col min="12035" max="12037" width="9.140625" style="119"/>
    <col min="12038" max="12040" width="15.28515625" style="119" bestFit="1" customWidth="1"/>
    <col min="12041" max="12041" width="14.42578125" style="119" bestFit="1" customWidth="1"/>
    <col min="12042" max="12044" width="9.140625" style="119"/>
    <col min="12045" max="12045" width="16.140625" style="119" bestFit="1" customWidth="1"/>
    <col min="12046" max="12288" width="9.140625" style="119"/>
    <col min="12289" max="12289" width="19.28515625" style="119" customWidth="1"/>
    <col min="12290" max="12290" width="12.5703125" style="119" customWidth="1"/>
    <col min="12291" max="12293" width="9.140625" style="119"/>
    <col min="12294" max="12296" width="15.28515625" style="119" bestFit="1" customWidth="1"/>
    <col min="12297" max="12297" width="14.42578125" style="119" bestFit="1" customWidth="1"/>
    <col min="12298" max="12300" width="9.140625" style="119"/>
    <col min="12301" max="12301" width="16.140625" style="119" bestFit="1" customWidth="1"/>
    <col min="12302" max="12544" width="9.140625" style="119"/>
    <col min="12545" max="12545" width="19.28515625" style="119" customWidth="1"/>
    <col min="12546" max="12546" width="12.5703125" style="119" customWidth="1"/>
    <col min="12547" max="12549" width="9.140625" style="119"/>
    <col min="12550" max="12552" width="15.28515625" style="119" bestFit="1" customWidth="1"/>
    <col min="12553" max="12553" width="14.42578125" style="119" bestFit="1" customWidth="1"/>
    <col min="12554" max="12556" width="9.140625" style="119"/>
    <col min="12557" max="12557" width="16.140625" style="119" bestFit="1" customWidth="1"/>
    <col min="12558" max="12800" width="9.140625" style="119"/>
    <col min="12801" max="12801" width="19.28515625" style="119" customWidth="1"/>
    <col min="12802" max="12802" width="12.5703125" style="119" customWidth="1"/>
    <col min="12803" max="12805" width="9.140625" style="119"/>
    <col min="12806" max="12808" width="15.28515625" style="119" bestFit="1" customWidth="1"/>
    <col min="12809" max="12809" width="14.42578125" style="119" bestFit="1" customWidth="1"/>
    <col min="12810" max="12812" width="9.140625" style="119"/>
    <col min="12813" max="12813" width="16.140625" style="119" bestFit="1" customWidth="1"/>
    <col min="12814" max="13056" width="9.140625" style="119"/>
    <col min="13057" max="13057" width="19.28515625" style="119" customWidth="1"/>
    <col min="13058" max="13058" width="12.5703125" style="119" customWidth="1"/>
    <col min="13059" max="13061" width="9.140625" style="119"/>
    <col min="13062" max="13064" width="15.28515625" style="119" bestFit="1" customWidth="1"/>
    <col min="13065" max="13065" width="14.42578125" style="119" bestFit="1" customWidth="1"/>
    <col min="13066" max="13068" width="9.140625" style="119"/>
    <col min="13069" max="13069" width="16.140625" style="119" bestFit="1" customWidth="1"/>
    <col min="13070" max="13312" width="9.140625" style="119"/>
    <col min="13313" max="13313" width="19.28515625" style="119" customWidth="1"/>
    <col min="13314" max="13314" width="12.5703125" style="119" customWidth="1"/>
    <col min="13315" max="13317" width="9.140625" style="119"/>
    <col min="13318" max="13320" width="15.28515625" style="119" bestFit="1" customWidth="1"/>
    <col min="13321" max="13321" width="14.42578125" style="119" bestFit="1" customWidth="1"/>
    <col min="13322" max="13324" width="9.140625" style="119"/>
    <col min="13325" max="13325" width="16.140625" style="119" bestFit="1" customWidth="1"/>
    <col min="13326" max="13568" width="9.140625" style="119"/>
    <col min="13569" max="13569" width="19.28515625" style="119" customWidth="1"/>
    <col min="13570" max="13570" width="12.5703125" style="119" customWidth="1"/>
    <col min="13571" max="13573" width="9.140625" style="119"/>
    <col min="13574" max="13576" width="15.28515625" style="119" bestFit="1" customWidth="1"/>
    <col min="13577" max="13577" width="14.42578125" style="119" bestFit="1" customWidth="1"/>
    <col min="13578" max="13580" width="9.140625" style="119"/>
    <col min="13581" max="13581" width="16.140625" style="119" bestFit="1" customWidth="1"/>
    <col min="13582" max="13824" width="9.140625" style="119"/>
    <col min="13825" max="13825" width="19.28515625" style="119" customWidth="1"/>
    <col min="13826" max="13826" width="12.5703125" style="119" customWidth="1"/>
    <col min="13827" max="13829" width="9.140625" style="119"/>
    <col min="13830" max="13832" width="15.28515625" style="119" bestFit="1" customWidth="1"/>
    <col min="13833" max="13833" width="14.42578125" style="119" bestFit="1" customWidth="1"/>
    <col min="13834" max="13836" width="9.140625" style="119"/>
    <col min="13837" max="13837" width="16.140625" style="119" bestFit="1" customWidth="1"/>
    <col min="13838" max="14080" width="9.140625" style="119"/>
    <col min="14081" max="14081" width="19.28515625" style="119" customWidth="1"/>
    <col min="14082" max="14082" width="12.5703125" style="119" customWidth="1"/>
    <col min="14083" max="14085" width="9.140625" style="119"/>
    <col min="14086" max="14088" width="15.28515625" style="119" bestFit="1" customWidth="1"/>
    <col min="14089" max="14089" width="14.42578125" style="119" bestFit="1" customWidth="1"/>
    <col min="14090" max="14092" width="9.140625" style="119"/>
    <col min="14093" max="14093" width="16.140625" style="119" bestFit="1" customWidth="1"/>
    <col min="14094" max="14336" width="9.140625" style="119"/>
    <col min="14337" max="14337" width="19.28515625" style="119" customWidth="1"/>
    <col min="14338" max="14338" width="12.5703125" style="119" customWidth="1"/>
    <col min="14339" max="14341" width="9.140625" style="119"/>
    <col min="14342" max="14344" width="15.28515625" style="119" bestFit="1" customWidth="1"/>
    <col min="14345" max="14345" width="14.42578125" style="119" bestFit="1" customWidth="1"/>
    <col min="14346" max="14348" width="9.140625" style="119"/>
    <col min="14349" max="14349" width="16.140625" style="119" bestFit="1" customWidth="1"/>
    <col min="14350" max="14592" width="9.140625" style="119"/>
    <col min="14593" max="14593" width="19.28515625" style="119" customWidth="1"/>
    <col min="14594" max="14594" width="12.5703125" style="119" customWidth="1"/>
    <col min="14595" max="14597" width="9.140625" style="119"/>
    <col min="14598" max="14600" width="15.28515625" style="119" bestFit="1" customWidth="1"/>
    <col min="14601" max="14601" width="14.42578125" style="119" bestFit="1" customWidth="1"/>
    <col min="14602" max="14604" width="9.140625" style="119"/>
    <col min="14605" max="14605" width="16.140625" style="119" bestFit="1" customWidth="1"/>
    <col min="14606" max="14848" width="9.140625" style="119"/>
    <col min="14849" max="14849" width="19.28515625" style="119" customWidth="1"/>
    <col min="14850" max="14850" width="12.5703125" style="119" customWidth="1"/>
    <col min="14851" max="14853" width="9.140625" style="119"/>
    <col min="14854" max="14856" width="15.28515625" style="119" bestFit="1" customWidth="1"/>
    <col min="14857" max="14857" width="14.42578125" style="119" bestFit="1" customWidth="1"/>
    <col min="14858" max="14860" width="9.140625" style="119"/>
    <col min="14861" max="14861" width="16.140625" style="119" bestFit="1" customWidth="1"/>
    <col min="14862" max="15104" width="9.140625" style="119"/>
    <col min="15105" max="15105" width="19.28515625" style="119" customWidth="1"/>
    <col min="15106" max="15106" width="12.5703125" style="119" customWidth="1"/>
    <col min="15107" max="15109" width="9.140625" style="119"/>
    <col min="15110" max="15112" width="15.28515625" style="119" bestFit="1" customWidth="1"/>
    <col min="15113" max="15113" width="14.42578125" style="119" bestFit="1" customWidth="1"/>
    <col min="15114" max="15116" width="9.140625" style="119"/>
    <col min="15117" max="15117" width="16.140625" style="119" bestFit="1" customWidth="1"/>
    <col min="15118" max="15360" width="9.140625" style="119"/>
    <col min="15361" max="15361" width="19.28515625" style="119" customWidth="1"/>
    <col min="15362" max="15362" width="12.5703125" style="119" customWidth="1"/>
    <col min="15363" max="15365" width="9.140625" style="119"/>
    <col min="15366" max="15368" width="15.28515625" style="119" bestFit="1" customWidth="1"/>
    <col min="15369" max="15369" width="14.42578125" style="119" bestFit="1" customWidth="1"/>
    <col min="15370" max="15372" width="9.140625" style="119"/>
    <col min="15373" max="15373" width="16.140625" style="119" bestFit="1" customWidth="1"/>
    <col min="15374" max="15616" width="9.140625" style="119"/>
    <col min="15617" max="15617" width="19.28515625" style="119" customWidth="1"/>
    <col min="15618" max="15618" width="12.5703125" style="119" customWidth="1"/>
    <col min="15619" max="15621" width="9.140625" style="119"/>
    <col min="15622" max="15624" width="15.28515625" style="119" bestFit="1" customWidth="1"/>
    <col min="15625" max="15625" width="14.42578125" style="119" bestFit="1" customWidth="1"/>
    <col min="15626" max="15628" width="9.140625" style="119"/>
    <col min="15629" max="15629" width="16.140625" style="119" bestFit="1" customWidth="1"/>
    <col min="15630" max="15872" width="9.140625" style="119"/>
    <col min="15873" max="15873" width="19.28515625" style="119" customWidth="1"/>
    <col min="15874" max="15874" width="12.5703125" style="119" customWidth="1"/>
    <col min="15875" max="15877" width="9.140625" style="119"/>
    <col min="15878" max="15880" width="15.28515625" style="119" bestFit="1" customWidth="1"/>
    <col min="15881" max="15881" width="14.42578125" style="119" bestFit="1" customWidth="1"/>
    <col min="15882" max="15884" width="9.140625" style="119"/>
    <col min="15885" max="15885" width="16.140625" style="119" bestFit="1" customWidth="1"/>
    <col min="15886" max="16128" width="9.140625" style="119"/>
    <col min="16129" max="16129" width="19.28515625" style="119" customWidth="1"/>
    <col min="16130" max="16130" width="12.5703125" style="119" customWidth="1"/>
    <col min="16131" max="16133" width="9.140625" style="119"/>
    <col min="16134" max="16136" width="15.28515625" style="119" bestFit="1" customWidth="1"/>
    <col min="16137" max="16137" width="14.42578125" style="119" bestFit="1" customWidth="1"/>
    <col min="16138" max="16140" width="9.140625" style="119"/>
    <col min="16141" max="16141" width="16.140625" style="119" bestFit="1" customWidth="1"/>
    <col min="16142" max="16384" width="9.140625" style="119"/>
  </cols>
  <sheetData>
    <row r="1" spans="1:14" x14ac:dyDescent="0.25">
      <c r="F1" s="12" t="s">
        <v>2452</v>
      </c>
      <c r="G1" s="12" t="s">
        <v>2430</v>
      </c>
      <c r="H1" s="12" t="s">
        <v>2453</v>
      </c>
      <c r="I1" s="12" t="s">
        <v>2454</v>
      </c>
    </row>
    <row r="2" spans="1:14" x14ac:dyDescent="0.25">
      <c r="A2" s="12" t="s">
        <v>2455</v>
      </c>
    </row>
    <row r="3" spans="1:14" x14ac:dyDescent="0.25">
      <c r="A3" s="119" t="s">
        <v>2456</v>
      </c>
      <c r="F3" s="119">
        <f>VLOOKUP('Interface - Substantial impacts'!$I$14,'DW Facility data'!$B:$P,4,FALSE)</f>
        <v>325000</v>
      </c>
      <c r="G3" s="181">
        <f>VLOOKUP('Interface - Substantial impacts'!$I$14,'DW Facility data'!$B:$P,4,FALSE)</f>
        <v>325000</v>
      </c>
      <c r="H3" s="181">
        <f>VLOOKUP('Interface - Substantial impacts'!$I$14,'DW Facility data'!$B:$P,4,FALSE)</f>
        <v>325000</v>
      </c>
    </row>
    <row r="4" spans="1:14" x14ac:dyDescent="0.25">
      <c r="A4" s="119" t="s">
        <v>2457</v>
      </c>
      <c r="F4" s="119">
        <v>8000000</v>
      </c>
    </row>
    <row r="5" spans="1:14" x14ac:dyDescent="0.25">
      <c r="A5" s="119" t="s">
        <v>2458</v>
      </c>
      <c r="F5" s="119">
        <f>'Interface - Substantial impacts'!$I$55</f>
        <v>0</v>
      </c>
      <c r="G5" s="181">
        <f>'Interface - Substantial impacts'!$I$55</f>
        <v>0</v>
      </c>
      <c r="H5" s="181">
        <f>'Interface - Substantial impacts'!$I$55</f>
        <v>0</v>
      </c>
    </row>
    <row r="6" spans="1:14" x14ac:dyDescent="0.25">
      <c r="A6" s="119" t="s">
        <v>2459</v>
      </c>
      <c r="F6" s="152">
        <f>F3*8</f>
        <v>2600000</v>
      </c>
      <c r="G6" s="152">
        <f>(MAX(0,F3/1000000-0.72)*2.77778+8)*1000000</f>
        <v>8000000</v>
      </c>
      <c r="H6" s="152">
        <f xml:space="preserve"> IF(F3&lt;432000,2.4206*H3+1460000,(0.3135*(F3/1000000)^3 - 1.7834*(F3/1000000)^2 + 5.987*(F3/1000000)+ 0.1313)*1000000)</f>
        <v>2246695</v>
      </c>
      <c r="J6" s="119">
        <f>(MAX(0,F3/1000000-0.72)*2.77778+8)*1000000</f>
        <v>8000000</v>
      </c>
      <c r="K6" s="119">
        <f xml:space="preserve"> IF(F3&lt;432000,2000000,(0.3135*(F3/1000000)^3 - 1.7834*(F3/1000000)^2 + 5.987*(F3/1000000)+ 0.1313)*1000000)</f>
        <v>2000000</v>
      </c>
      <c r="N6" s="119" t="str">
        <f>IF(F6=G6, "Lime Softening", "Reverse Osmosis")</f>
        <v>Reverse Osmosis</v>
      </c>
    </row>
    <row r="7" spans="1:14" x14ac:dyDescent="0.25">
      <c r="A7" s="119" t="s">
        <v>2460</v>
      </c>
      <c r="F7" s="152">
        <f>'Interface - Substantial impacts'!$I$58</f>
        <v>0</v>
      </c>
      <c r="G7" s="152">
        <f>'Interface - Substantial impacts'!$I$58</f>
        <v>0</v>
      </c>
      <c r="H7" s="152">
        <f>'Interface - Substantial impacts'!$I$58</f>
        <v>0</v>
      </c>
    </row>
    <row r="9" spans="1:14" x14ac:dyDescent="0.25">
      <c r="A9" s="12" t="s">
        <v>2461</v>
      </c>
    </row>
    <row r="10" spans="1:14" x14ac:dyDescent="0.25">
      <c r="A10" s="119" t="s">
        <v>2462</v>
      </c>
      <c r="F10" s="152">
        <f>'Interface - Substantial impacts'!$I$29</f>
        <v>268344</v>
      </c>
      <c r="G10" s="152">
        <f>'Interface - Substantial impacts'!$I$29</f>
        <v>268344</v>
      </c>
      <c r="H10" s="152">
        <f>'Interface - Substantial impacts'!$I$29</f>
        <v>268344</v>
      </c>
    </row>
    <row r="11" spans="1:14" x14ac:dyDescent="0.25">
      <c r="A11" s="119" t="s">
        <v>2040</v>
      </c>
      <c r="F11" s="152">
        <f>'Interface - Substantial impacts'!$I$34</f>
        <v>0</v>
      </c>
      <c r="G11" s="152">
        <f>'Interface - Substantial impacts'!$I$34</f>
        <v>0</v>
      </c>
      <c r="H11" s="152">
        <f>'Interface - Substantial impacts'!$I$34</f>
        <v>0</v>
      </c>
    </row>
    <row r="12" spans="1:14" x14ac:dyDescent="0.25">
      <c r="A12" s="119" t="s">
        <v>2463</v>
      </c>
      <c r="F12" s="152">
        <f>F10*(F18/(F17))</f>
        <v>0</v>
      </c>
      <c r="G12" s="152">
        <f>G3*365*7/1000</f>
        <v>830375</v>
      </c>
      <c r="H12" s="152">
        <f>H3*365*4/1000</f>
        <v>474500</v>
      </c>
    </row>
    <row r="13" spans="1:14" x14ac:dyDescent="0.25">
      <c r="A13" s="119" t="s">
        <v>2464</v>
      </c>
      <c r="F13" s="152">
        <f>F6-F7</f>
        <v>2600000</v>
      </c>
      <c r="G13" s="152">
        <f>G6-G7</f>
        <v>8000000</v>
      </c>
      <c r="H13" s="152">
        <f>H6-H7</f>
        <v>2246695</v>
      </c>
    </row>
    <row r="16" spans="1:14" x14ac:dyDescent="0.25">
      <c r="A16" s="12" t="s">
        <v>2465</v>
      </c>
    </row>
    <row r="17" spans="1:10" x14ac:dyDescent="0.25">
      <c r="A17" s="119" t="s">
        <v>2466</v>
      </c>
      <c r="F17" s="119">
        <f>'Interface - Substantial impacts'!$I$20-'Interface - Substantial impacts'!$I$49</f>
        <v>611</v>
      </c>
      <c r="G17" s="181">
        <f>'Interface - Substantial impacts'!$I$20-'Interface - Substantial impacts'!$I$49</f>
        <v>611</v>
      </c>
      <c r="H17" s="181">
        <f>'Interface - Substantial impacts'!$I$20-'Interface - Substantial impacts'!$I$49</f>
        <v>611</v>
      </c>
    </row>
    <row r="18" spans="1:10" x14ac:dyDescent="0.25">
      <c r="A18" s="119" t="s">
        <v>2467</v>
      </c>
      <c r="F18" s="119">
        <f>'Interface - Substantial impacts'!$I$49</f>
        <v>0</v>
      </c>
      <c r="G18" s="181">
        <f>'Interface - Substantial impacts'!$I$49</f>
        <v>0</v>
      </c>
      <c r="H18" s="181">
        <f>'Interface - Substantial impacts'!$I$49</f>
        <v>0</v>
      </c>
    </row>
    <row r="19" spans="1:10" x14ac:dyDescent="0.25">
      <c r="A19" s="119" t="s">
        <v>2468</v>
      </c>
      <c r="F19" s="73">
        <f>'Interface - Substantial impacts'!$I$27</f>
        <v>12.941176470588236</v>
      </c>
      <c r="G19" s="73">
        <f>'Interface - Substantial impacts'!$I$27</f>
        <v>12.941176470588236</v>
      </c>
      <c r="H19" s="73">
        <f>'Interface - Substantial impacts'!$I$27</f>
        <v>12.941176470588236</v>
      </c>
    </row>
    <row r="20" spans="1:10" x14ac:dyDescent="0.25">
      <c r="A20" s="119" t="s">
        <v>2469</v>
      </c>
      <c r="F20" s="119">
        <f>F19*(F18/(F17))</f>
        <v>0</v>
      </c>
      <c r="G20" s="119">
        <f>G19*(G18/(G17))</f>
        <v>0</v>
      </c>
      <c r="H20" s="119">
        <f>H19*(H18/(H17))</f>
        <v>0</v>
      </c>
    </row>
    <row r="21" spans="1:10" x14ac:dyDescent="0.25">
      <c r="A21" s="119" t="s">
        <v>2470</v>
      </c>
      <c r="F21" s="159">
        <v>1000000</v>
      </c>
      <c r="G21" s="159">
        <v>1000000</v>
      </c>
      <c r="H21" s="159">
        <v>1000000</v>
      </c>
    </row>
    <row r="22" spans="1:10" x14ac:dyDescent="0.25">
      <c r="A22" s="119" t="s">
        <v>2471</v>
      </c>
      <c r="F22" s="119">
        <f>F21*F20</f>
        <v>0</v>
      </c>
      <c r="G22" s="119">
        <f>G21*G20</f>
        <v>0</v>
      </c>
      <c r="H22" s="119">
        <f>H21*H20</f>
        <v>0</v>
      </c>
    </row>
    <row r="24" spans="1:10" x14ac:dyDescent="0.25">
      <c r="A24" s="119" t="s">
        <v>2472</v>
      </c>
      <c r="F24" s="109">
        <v>15000</v>
      </c>
      <c r="G24" s="109">
        <v>15000</v>
      </c>
      <c r="H24" s="109">
        <v>15000</v>
      </c>
    </row>
    <row r="25" spans="1:10" x14ac:dyDescent="0.25">
      <c r="A25" s="119" t="s">
        <v>2473</v>
      </c>
      <c r="F25" s="160">
        <f>-PMT('Interface - Substantial impacts'!$I$42,'Interface - Substantial impacts'!$I$40,Calculations!$F$24)</f>
        <v>1168.1788533646143</v>
      </c>
      <c r="G25" s="160">
        <f>-PMT('Interface - Substantial impacts'!$I$42,'Interface - Substantial impacts'!$I$40,Calculations!$G$24)</f>
        <v>1168.1788533646143</v>
      </c>
      <c r="H25" s="160">
        <f>-PMT('Interface - Substantial impacts'!$I$42,'Interface - Substantial impacts'!$I$40,Calculations!$H$24)</f>
        <v>1168.1788533646143</v>
      </c>
      <c r="J25" s="16" t="s">
        <v>2497</v>
      </c>
    </row>
    <row r="26" spans="1:10" ht="66.75" customHeight="1" x14ac:dyDescent="0.25">
      <c r="A26" s="259" t="s">
        <v>2474</v>
      </c>
      <c r="B26" s="259"/>
      <c r="F26" s="119">
        <f>F25*(F18/(F18+F17))</f>
        <v>0</v>
      </c>
      <c r="G26" s="119">
        <f>G25*(G18/(G18+G17))</f>
        <v>0</v>
      </c>
      <c r="H26" s="119">
        <f>H25*(H18/(H18+H17))</f>
        <v>0</v>
      </c>
    </row>
    <row r="28" spans="1:10" x14ac:dyDescent="0.25">
      <c r="A28" s="12" t="s">
        <v>2475</v>
      </c>
    </row>
    <row r="29" spans="1:10" x14ac:dyDescent="0.25">
      <c r="A29" s="119" t="s">
        <v>2462</v>
      </c>
      <c r="F29" s="119">
        <f>'Interface - Substantial impacts'!$I$31</f>
        <v>268344</v>
      </c>
      <c r="G29" s="157">
        <f>'Interface - Substantial impacts'!$I$31</f>
        <v>268344</v>
      </c>
      <c r="H29" s="157">
        <f>'Interface - Substantial impacts'!$I$31</f>
        <v>268344</v>
      </c>
      <c r="I29" s="157">
        <f>'Interface - Substantial impacts'!$I$31</f>
        <v>268344</v>
      </c>
    </row>
    <row r="30" spans="1:10" x14ac:dyDescent="0.25">
      <c r="A30" s="119" t="s">
        <v>2476</v>
      </c>
      <c r="F30" s="119">
        <f>'Interface - Substantial impacts'!$I$36</f>
        <v>0</v>
      </c>
      <c r="G30" s="157">
        <f>'Interface - Substantial impacts'!$I$36</f>
        <v>0</v>
      </c>
      <c r="H30" s="157">
        <f>'Interface - Substantial impacts'!$I$36</f>
        <v>0</v>
      </c>
      <c r="I30" s="157">
        <f>'Interface - Substantial impacts'!$I$36</f>
        <v>0</v>
      </c>
    </row>
    <row r="31" spans="1:10" x14ac:dyDescent="0.25">
      <c r="A31" s="119" t="s">
        <v>2463</v>
      </c>
      <c r="F31" s="119">
        <v>0</v>
      </c>
      <c r="G31" s="119">
        <v>0</v>
      </c>
      <c r="H31" s="119">
        <v>0</v>
      </c>
      <c r="I31" s="119">
        <v>0</v>
      </c>
    </row>
    <row r="32" spans="1:10" x14ac:dyDescent="0.25">
      <c r="A32" s="119" t="s">
        <v>2464</v>
      </c>
      <c r="F32" s="119">
        <v>0</v>
      </c>
      <c r="G32" s="119">
        <v>0</v>
      </c>
      <c r="H32" s="119">
        <v>0</v>
      </c>
      <c r="I32" s="119">
        <v>0</v>
      </c>
    </row>
    <row r="34" spans="1:9" x14ac:dyDescent="0.25">
      <c r="A34" s="12" t="s">
        <v>2477</v>
      </c>
      <c r="F34" s="152">
        <f>$F$10+$F$11+$F$29+$F$30+$F$12</f>
        <v>536688</v>
      </c>
      <c r="G34" s="152">
        <f>$G$11+$G$29+$G$30+$G$12</f>
        <v>1098719</v>
      </c>
      <c r="H34" s="152">
        <f>$H$11+$H$29+$H$30+$H$12</f>
        <v>742844</v>
      </c>
    </row>
    <row r="35" spans="1:9" x14ac:dyDescent="0.25">
      <c r="A35" s="12" t="s">
        <v>2478</v>
      </c>
      <c r="F35" s="152">
        <f>($F$13+$F$22)*$F$37</f>
        <v>202484.33458319982</v>
      </c>
      <c r="G35" s="152">
        <f>($G$13+$G$22)*$G$37</f>
        <v>623028.72179446102</v>
      </c>
      <c r="H35" s="152">
        <f>($H$13+$H$22)*$H$37</f>
        <v>174969.43926400083</v>
      </c>
    </row>
    <row r="36" spans="1:9" x14ac:dyDescent="0.25">
      <c r="A36" s="119" t="s">
        <v>2479</v>
      </c>
      <c r="F36" s="154">
        <f>'Interface - Substantial impacts'!$I$53</f>
        <v>0</v>
      </c>
      <c r="G36" s="154">
        <f>'Interface - Substantial impacts'!$I$53</f>
        <v>0</v>
      </c>
      <c r="H36" s="154">
        <f>'Interface - Substantial impacts'!$I$53</f>
        <v>0</v>
      </c>
    </row>
    <row r="37" spans="1:9" x14ac:dyDescent="0.25">
      <c r="A37" s="119" t="s">
        <v>2480</v>
      </c>
      <c r="F37" s="153">
        <f>-PMT('Interface - Substantial impacts'!$I$42,'Interface - Substantial impacts'!$I$40,1)</f>
        <v>7.7878590224307626E-2</v>
      </c>
      <c r="G37" s="153">
        <f>-PMT('Interface - Substantial impacts'!$I$42,'Interface - Substantial impacts'!$I$40,1)</f>
        <v>7.7878590224307626E-2</v>
      </c>
      <c r="H37" s="153">
        <f>-PMT('Interface - Substantial impacts'!$I$42,'Interface - Substantial impacts'!$I$40,1)</f>
        <v>7.7878590224307626E-2</v>
      </c>
    </row>
    <row r="38" spans="1:9" x14ac:dyDescent="0.25">
      <c r="A38" s="119" t="s">
        <v>2481</v>
      </c>
      <c r="F38" s="152">
        <f>($F$34+$F$35)*$F$36</f>
        <v>0</v>
      </c>
      <c r="G38" s="152">
        <f>($G$34+$G$35)*$G$36</f>
        <v>0</v>
      </c>
      <c r="H38" s="152">
        <f>($H$34+$H$35)*$H$36</f>
        <v>0</v>
      </c>
    </row>
    <row r="40" spans="1:9" x14ac:dyDescent="0.25">
      <c r="A40" s="119" t="s">
        <v>2231</v>
      </c>
      <c r="F40" s="119">
        <f>'Interface - Substantial impacts'!$I$20</f>
        <v>611</v>
      </c>
      <c r="G40" s="157">
        <f>'Interface - Substantial impacts'!$I$20</f>
        <v>611</v>
      </c>
      <c r="H40" s="157">
        <f>'Interface - Substantial impacts'!$I$20</f>
        <v>611</v>
      </c>
      <c r="I40" s="157">
        <f>'Interface - Substantial impacts'!$I$20</f>
        <v>611</v>
      </c>
    </row>
    <row r="41" spans="1:9" x14ac:dyDescent="0.25">
      <c r="A41" s="119" t="s">
        <v>2482</v>
      </c>
    </row>
    <row r="43" spans="1:9" x14ac:dyDescent="0.25">
      <c r="A43" s="119" t="s">
        <v>2483</v>
      </c>
      <c r="F43" s="119">
        <v>2000</v>
      </c>
      <c r="G43" s="119">
        <v>2000</v>
      </c>
      <c r="H43" s="119">
        <v>2000</v>
      </c>
    </row>
    <row r="44" spans="1:9" x14ac:dyDescent="0.25">
      <c r="A44" s="119" t="s">
        <v>2484</v>
      </c>
      <c r="F44" s="153">
        <f>$F$43*$F$37</f>
        <v>155.75718044861526</v>
      </c>
      <c r="G44" s="153">
        <f>$F$43*$F$37</f>
        <v>155.75718044861526</v>
      </c>
      <c r="H44" s="153">
        <f>$F$43*$F$37</f>
        <v>155.75718044861526</v>
      </c>
    </row>
    <row r="46" spans="1:9" x14ac:dyDescent="0.25">
      <c r="A46" s="119" t="s">
        <v>2485</v>
      </c>
      <c r="F46" s="153">
        <f>($F$38/$F$40)+$F$44+$F$26</f>
        <v>155.75718044861526</v>
      </c>
      <c r="G46" s="153">
        <f>($G$38/$G$40)+$G$44+$G$26</f>
        <v>155.75718044861526</v>
      </c>
      <c r="H46" s="153">
        <f>($H$38/$H$40)+$H$44+$H$26</f>
        <v>155.75718044861526</v>
      </c>
    </row>
    <row r="47" spans="1:9" x14ac:dyDescent="0.25">
      <c r="A47" s="119" t="s">
        <v>2486</v>
      </c>
      <c r="F47" s="153">
        <f>F46/12</f>
        <v>12.979765037384604</v>
      </c>
      <c r="G47" s="153">
        <f>G46/12</f>
        <v>12.979765037384604</v>
      </c>
      <c r="H47" s="153">
        <f>H46/12</f>
        <v>12.979765037384604</v>
      </c>
    </row>
    <row r="48" spans="1:9" x14ac:dyDescent="0.25">
      <c r="A48" s="119" t="s">
        <v>2487</v>
      </c>
      <c r="F48" s="155">
        <f>'Interface - Substantial impacts'!$I$18</f>
        <v>58333</v>
      </c>
      <c r="G48" s="155">
        <f>'Interface - Substantial impacts'!$I$18</f>
        <v>58333</v>
      </c>
      <c r="H48" s="155">
        <f>'Interface - Substantial impacts'!$I$18</f>
        <v>58333</v>
      </c>
      <c r="I48" s="155">
        <f>'Interface - Substantial impacts'!$I$18</f>
        <v>58333</v>
      </c>
    </row>
    <row r="49" spans="1:10" x14ac:dyDescent="0.25">
      <c r="A49" s="119" t="s">
        <v>2488</v>
      </c>
      <c r="F49" s="119">
        <f>VLOOKUP('Interface - Substantial impacts'!$I$14,'Municipal screener data'!$A:$G,5,FALSE)</f>
        <v>9366</v>
      </c>
      <c r="G49" s="157">
        <f>VLOOKUP('Interface - Substantial impacts'!$I$14,'Municipal screener data'!$A:$G,5,FALSE)</f>
        <v>9366</v>
      </c>
      <c r="H49" s="157">
        <f>VLOOKUP('Interface - Substantial impacts'!$I$14,'Municipal screener data'!$A:$G,5,FALSE)</f>
        <v>9366</v>
      </c>
      <c r="I49" s="157">
        <f>VLOOKUP('Interface - Substantial impacts'!$I$14,'Municipal screener data'!$A:$G,5,FALSE)</f>
        <v>9366</v>
      </c>
    </row>
    <row r="51" spans="1:10" x14ac:dyDescent="0.25">
      <c r="A51" s="12" t="s">
        <v>2489</v>
      </c>
    </row>
    <row r="52" spans="1:10" x14ac:dyDescent="0.25">
      <c r="A52" s="119" t="s">
        <v>2490</v>
      </c>
      <c r="I52" s="156">
        <f>(VLOOKUP('Interface - Substantial impacts'!$I$13,'RO EOP'!A:N,5,FALSE)*1000000+I29+I30)*1.12</f>
        <v>24760591.520000003</v>
      </c>
    </row>
    <row r="53" spans="1:10" x14ac:dyDescent="0.25">
      <c r="A53" s="119" t="s">
        <v>2491</v>
      </c>
      <c r="I53" s="161">
        <f>+VLOOKUP('Interface - Substantial impacts'!$I$13,'RO EOP'!A:N,9,FALSE)*1000000+I29+I30</f>
        <v>6272651.2268940089</v>
      </c>
      <c r="J53" s="119" t="s">
        <v>2500</v>
      </c>
    </row>
    <row r="54" spans="1:10" x14ac:dyDescent="0.25">
      <c r="A54" s="119" t="s">
        <v>2492</v>
      </c>
      <c r="I54" s="156">
        <f>$I$53/$I$40</f>
        <v>10266.204954000015</v>
      </c>
    </row>
    <row r="55" spans="1:10" x14ac:dyDescent="0.25">
      <c r="A55" s="119" t="s">
        <v>2486</v>
      </c>
      <c r="I55" s="156">
        <f>$I$54/12</f>
        <v>855.51707950000127</v>
      </c>
    </row>
    <row r="57" spans="1:10" x14ac:dyDescent="0.25">
      <c r="A57" s="12" t="s">
        <v>2493</v>
      </c>
    </row>
    <row r="58" spans="1:10" x14ac:dyDescent="0.25">
      <c r="A58" s="119" t="s">
        <v>2494</v>
      </c>
      <c r="F58" s="119">
        <f>$F$46/$F$48</f>
        <v>2.6701383513382691E-3</v>
      </c>
      <c r="G58" s="119">
        <f>$G$46/$G$48</f>
        <v>2.6701383513382691E-3</v>
      </c>
      <c r="H58" s="119">
        <f>$H$46/$H$48</f>
        <v>2.6701383513382691E-3</v>
      </c>
      <c r="I58" s="119">
        <f>$I$54/$I$48</f>
        <v>0.17599309060051799</v>
      </c>
    </row>
    <row r="59" spans="1:10" x14ac:dyDescent="0.25">
      <c r="A59" s="119" t="s">
        <v>2495</v>
      </c>
      <c r="F59" s="119">
        <f>$F$46/($F$48+$F$49)</f>
        <v>2.3007308889143895E-3</v>
      </c>
      <c r="G59" s="119">
        <f>$G$46/($G$48+$G$49)</f>
        <v>2.3007308889143895E-3</v>
      </c>
      <c r="H59" s="119">
        <f>$H$46/($H$48+$H$49)</f>
        <v>2.3007308889143895E-3</v>
      </c>
      <c r="I59" s="81">
        <f>$I$54/($I$48+$I$55)</f>
        <v>0.17344926787421955</v>
      </c>
    </row>
    <row r="60" spans="1:10" x14ac:dyDescent="0.25">
      <c r="A60" s="119" t="s">
        <v>2496</v>
      </c>
      <c r="F60" s="119">
        <f>$F$46/($F$48-$F$49)</f>
        <v>3.1808601802972461E-3</v>
      </c>
      <c r="G60" s="119">
        <f>$G$46/($G$48-$G$49)</f>
        <v>3.1808601802972461E-3</v>
      </c>
      <c r="H60" s="119">
        <f>$H$46/($H$48-$H$49)</f>
        <v>3.1808601802972461E-3</v>
      </c>
      <c r="I60" s="81">
        <f>$I$54/($I$48-$I$55)</f>
        <v>0.17861263980887473</v>
      </c>
    </row>
  </sheetData>
  <sheetProtection sheet="1" objects="1" scenarios="1"/>
  <mergeCells count="1">
    <mergeCell ref="A26:B2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2997-B0E8-4F79-BEEF-46EA26C63568}">
  <sheetPr codeName="Sheet7"/>
  <dimension ref="A1:M32"/>
  <sheetViews>
    <sheetView workbookViewId="0">
      <selection activeCell="F32" sqref="F32"/>
    </sheetView>
  </sheetViews>
  <sheetFormatPr defaultRowHeight="15" x14ac:dyDescent="0.25"/>
  <cols>
    <col min="1" max="1" width="29.7109375" style="158" customWidth="1"/>
    <col min="2" max="2" width="27.140625" style="158" customWidth="1"/>
    <col min="3" max="3" width="28.42578125" style="158" customWidth="1"/>
    <col min="4" max="4" width="34.7109375" style="158" customWidth="1"/>
    <col min="5" max="6" width="9.140625" style="158"/>
    <col min="7" max="7" width="32.5703125" style="158" bestFit="1" customWidth="1"/>
    <col min="8" max="8" width="9.140625" style="158"/>
    <col min="9" max="9" width="10.140625" style="158" customWidth="1"/>
    <col min="10" max="10" width="11.140625" style="158" customWidth="1"/>
    <col min="11" max="11" width="30.7109375" style="158" bestFit="1" customWidth="1"/>
    <col min="12" max="12" width="24.7109375" style="158" customWidth="1"/>
    <col min="13" max="256" width="9.140625" style="158"/>
    <col min="257" max="257" width="29.7109375" style="158" customWidth="1"/>
    <col min="258" max="258" width="27.140625" style="158" customWidth="1"/>
    <col min="259" max="259" width="28.42578125" style="158" customWidth="1"/>
    <col min="260" max="260" width="34.7109375" style="158" customWidth="1"/>
    <col min="261" max="262" width="9.140625" style="158"/>
    <col min="263" max="263" width="32.5703125" style="158" bestFit="1" customWidth="1"/>
    <col min="264" max="264" width="9.140625" style="158"/>
    <col min="265" max="265" width="10.140625" style="158" customWidth="1"/>
    <col min="266" max="266" width="11.140625" style="158" customWidth="1"/>
    <col min="267" max="267" width="30.7109375" style="158" bestFit="1" customWidth="1"/>
    <col min="268" max="268" width="24.7109375" style="158" customWidth="1"/>
    <col min="269" max="512" width="9.140625" style="158"/>
    <col min="513" max="513" width="29.7109375" style="158" customWidth="1"/>
    <col min="514" max="514" width="27.140625" style="158" customWidth="1"/>
    <col min="515" max="515" width="28.42578125" style="158" customWidth="1"/>
    <col min="516" max="516" width="34.7109375" style="158" customWidth="1"/>
    <col min="517" max="518" width="9.140625" style="158"/>
    <col min="519" max="519" width="32.5703125" style="158" bestFit="1" customWidth="1"/>
    <col min="520" max="520" width="9.140625" style="158"/>
    <col min="521" max="521" width="10.140625" style="158" customWidth="1"/>
    <col min="522" max="522" width="11.140625" style="158" customWidth="1"/>
    <col min="523" max="523" width="30.7109375" style="158" bestFit="1" customWidth="1"/>
    <col min="524" max="524" width="24.7109375" style="158" customWidth="1"/>
    <col min="525" max="768" width="9.140625" style="158"/>
    <col min="769" max="769" width="29.7109375" style="158" customWidth="1"/>
    <col min="770" max="770" width="27.140625" style="158" customWidth="1"/>
    <col min="771" max="771" width="28.42578125" style="158" customWidth="1"/>
    <col min="772" max="772" width="34.7109375" style="158" customWidth="1"/>
    <col min="773" max="774" width="9.140625" style="158"/>
    <col min="775" max="775" width="32.5703125" style="158" bestFit="1" customWidth="1"/>
    <col min="776" max="776" width="9.140625" style="158"/>
    <col min="777" max="777" width="10.140625" style="158" customWidth="1"/>
    <col min="778" max="778" width="11.140625" style="158" customWidth="1"/>
    <col min="779" max="779" width="30.7109375" style="158" bestFit="1" customWidth="1"/>
    <col min="780" max="780" width="24.7109375" style="158" customWidth="1"/>
    <col min="781" max="1024" width="9.140625" style="158"/>
    <col min="1025" max="1025" width="29.7109375" style="158" customWidth="1"/>
    <col min="1026" max="1026" width="27.140625" style="158" customWidth="1"/>
    <col min="1027" max="1027" width="28.42578125" style="158" customWidth="1"/>
    <col min="1028" max="1028" width="34.7109375" style="158" customWidth="1"/>
    <col min="1029" max="1030" width="9.140625" style="158"/>
    <col min="1031" max="1031" width="32.5703125" style="158" bestFit="1" customWidth="1"/>
    <col min="1032" max="1032" width="9.140625" style="158"/>
    <col min="1033" max="1033" width="10.140625" style="158" customWidth="1"/>
    <col min="1034" max="1034" width="11.140625" style="158" customWidth="1"/>
    <col min="1035" max="1035" width="30.7109375" style="158" bestFit="1" customWidth="1"/>
    <col min="1036" max="1036" width="24.7109375" style="158" customWidth="1"/>
    <col min="1037" max="1280" width="9.140625" style="158"/>
    <col min="1281" max="1281" width="29.7109375" style="158" customWidth="1"/>
    <col min="1282" max="1282" width="27.140625" style="158" customWidth="1"/>
    <col min="1283" max="1283" width="28.42578125" style="158" customWidth="1"/>
    <col min="1284" max="1284" width="34.7109375" style="158" customWidth="1"/>
    <col min="1285" max="1286" width="9.140625" style="158"/>
    <col min="1287" max="1287" width="32.5703125" style="158" bestFit="1" customWidth="1"/>
    <col min="1288" max="1288" width="9.140625" style="158"/>
    <col min="1289" max="1289" width="10.140625" style="158" customWidth="1"/>
    <col min="1290" max="1290" width="11.140625" style="158" customWidth="1"/>
    <col min="1291" max="1291" width="30.7109375" style="158" bestFit="1" customWidth="1"/>
    <col min="1292" max="1292" width="24.7109375" style="158" customWidth="1"/>
    <col min="1293" max="1536" width="9.140625" style="158"/>
    <col min="1537" max="1537" width="29.7109375" style="158" customWidth="1"/>
    <col min="1538" max="1538" width="27.140625" style="158" customWidth="1"/>
    <col min="1539" max="1539" width="28.42578125" style="158" customWidth="1"/>
    <col min="1540" max="1540" width="34.7109375" style="158" customWidth="1"/>
    <col min="1541" max="1542" width="9.140625" style="158"/>
    <col min="1543" max="1543" width="32.5703125" style="158" bestFit="1" customWidth="1"/>
    <col min="1544" max="1544" width="9.140625" style="158"/>
    <col min="1545" max="1545" width="10.140625" style="158" customWidth="1"/>
    <col min="1546" max="1546" width="11.140625" style="158" customWidth="1"/>
    <col min="1547" max="1547" width="30.7109375" style="158" bestFit="1" customWidth="1"/>
    <col min="1548" max="1548" width="24.7109375" style="158" customWidth="1"/>
    <col min="1549" max="1792" width="9.140625" style="158"/>
    <col min="1793" max="1793" width="29.7109375" style="158" customWidth="1"/>
    <col min="1794" max="1794" width="27.140625" style="158" customWidth="1"/>
    <col min="1795" max="1795" width="28.42578125" style="158" customWidth="1"/>
    <col min="1796" max="1796" width="34.7109375" style="158" customWidth="1"/>
    <col min="1797" max="1798" width="9.140625" style="158"/>
    <col min="1799" max="1799" width="32.5703125" style="158" bestFit="1" customWidth="1"/>
    <col min="1800" max="1800" width="9.140625" style="158"/>
    <col min="1801" max="1801" width="10.140625" style="158" customWidth="1"/>
    <col min="1802" max="1802" width="11.140625" style="158" customWidth="1"/>
    <col min="1803" max="1803" width="30.7109375" style="158" bestFit="1" customWidth="1"/>
    <col min="1804" max="1804" width="24.7109375" style="158" customWidth="1"/>
    <col min="1805" max="2048" width="9.140625" style="158"/>
    <col min="2049" max="2049" width="29.7109375" style="158" customWidth="1"/>
    <col min="2050" max="2050" width="27.140625" style="158" customWidth="1"/>
    <col min="2051" max="2051" width="28.42578125" style="158" customWidth="1"/>
    <col min="2052" max="2052" width="34.7109375" style="158" customWidth="1"/>
    <col min="2053" max="2054" width="9.140625" style="158"/>
    <col min="2055" max="2055" width="32.5703125" style="158" bestFit="1" customWidth="1"/>
    <col min="2056" max="2056" width="9.140625" style="158"/>
    <col min="2057" max="2057" width="10.140625" style="158" customWidth="1"/>
    <col min="2058" max="2058" width="11.140625" style="158" customWidth="1"/>
    <col min="2059" max="2059" width="30.7109375" style="158" bestFit="1" customWidth="1"/>
    <col min="2060" max="2060" width="24.7109375" style="158" customWidth="1"/>
    <col min="2061" max="2304" width="9.140625" style="158"/>
    <col min="2305" max="2305" width="29.7109375" style="158" customWidth="1"/>
    <col min="2306" max="2306" width="27.140625" style="158" customWidth="1"/>
    <col min="2307" max="2307" width="28.42578125" style="158" customWidth="1"/>
    <col min="2308" max="2308" width="34.7109375" style="158" customWidth="1"/>
    <col min="2309" max="2310" width="9.140625" style="158"/>
    <col min="2311" max="2311" width="32.5703125" style="158" bestFit="1" customWidth="1"/>
    <col min="2312" max="2312" width="9.140625" style="158"/>
    <col min="2313" max="2313" width="10.140625" style="158" customWidth="1"/>
    <col min="2314" max="2314" width="11.140625" style="158" customWidth="1"/>
    <col min="2315" max="2315" width="30.7109375" style="158" bestFit="1" customWidth="1"/>
    <col min="2316" max="2316" width="24.7109375" style="158" customWidth="1"/>
    <col min="2317" max="2560" width="9.140625" style="158"/>
    <col min="2561" max="2561" width="29.7109375" style="158" customWidth="1"/>
    <col min="2562" max="2562" width="27.140625" style="158" customWidth="1"/>
    <col min="2563" max="2563" width="28.42578125" style="158" customWidth="1"/>
    <col min="2564" max="2564" width="34.7109375" style="158" customWidth="1"/>
    <col min="2565" max="2566" width="9.140625" style="158"/>
    <col min="2567" max="2567" width="32.5703125" style="158" bestFit="1" customWidth="1"/>
    <col min="2568" max="2568" width="9.140625" style="158"/>
    <col min="2569" max="2569" width="10.140625" style="158" customWidth="1"/>
    <col min="2570" max="2570" width="11.140625" style="158" customWidth="1"/>
    <col min="2571" max="2571" width="30.7109375" style="158" bestFit="1" customWidth="1"/>
    <col min="2572" max="2572" width="24.7109375" style="158" customWidth="1"/>
    <col min="2573" max="2816" width="9.140625" style="158"/>
    <col min="2817" max="2817" width="29.7109375" style="158" customWidth="1"/>
    <col min="2818" max="2818" width="27.140625" style="158" customWidth="1"/>
    <col min="2819" max="2819" width="28.42578125" style="158" customWidth="1"/>
    <col min="2820" max="2820" width="34.7109375" style="158" customWidth="1"/>
    <col min="2821" max="2822" width="9.140625" style="158"/>
    <col min="2823" max="2823" width="32.5703125" style="158" bestFit="1" customWidth="1"/>
    <col min="2824" max="2824" width="9.140625" style="158"/>
    <col min="2825" max="2825" width="10.140625" style="158" customWidth="1"/>
    <col min="2826" max="2826" width="11.140625" style="158" customWidth="1"/>
    <col min="2827" max="2827" width="30.7109375" style="158" bestFit="1" customWidth="1"/>
    <col min="2828" max="2828" width="24.7109375" style="158" customWidth="1"/>
    <col min="2829" max="3072" width="9.140625" style="158"/>
    <col min="3073" max="3073" width="29.7109375" style="158" customWidth="1"/>
    <col min="3074" max="3074" width="27.140625" style="158" customWidth="1"/>
    <col min="3075" max="3075" width="28.42578125" style="158" customWidth="1"/>
    <col min="3076" max="3076" width="34.7109375" style="158" customWidth="1"/>
    <col min="3077" max="3078" width="9.140625" style="158"/>
    <col min="3079" max="3079" width="32.5703125" style="158" bestFit="1" customWidth="1"/>
    <col min="3080" max="3080" width="9.140625" style="158"/>
    <col min="3081" max="3081" width="10.140625" style="158" customWidth="1"/>
    <col min="3082" max="3082" width="11.140625" style="158" customWidth="1"/>
    <col min="3083" max="3083" width="30.7109375" style="158" bestFit="1" customWidth="1"/>
    <col min="3084" max="3084" width="24.7109375" style="158" customWidth="1"/>
    <col min="3085" max="3328" width="9.140625" style="158"/>
    <col min="3329" max="3329" width="29.7109375" style="158" customWidth="1"/>
    <col min="3330" max="3330" width="27.140625" style="158" customWidth="1"/>
    <col min="3331" max="3331" width="28.42578125" style="158" customWidth="1"/>
    <col min="3332" max="3332" width="34.7109375" style="158" customWidth="1"/>
    <col min="3333" max="3334" width="9.140625" style="158"/>
    <col min="3335" max="3335" width="32.5703125" style="158" bestFit="1" customWidth="1"/>
    <col min="3336" max="3336" width="9.140625" style="158"/>
    <col min="3337" max="3337" width="10.140625" style="158" customWidth="1"/>
    <col min="3338" max="3338" width="11.140625" style="158" customWidth="1"/>
    <col min="3339" max="3339" width="30.7109375" style="158" bestFit="1" customWidth="1"/>
    <col min="3340" max="3340" width="24.7109375" style="158" customWidth="1"/>
    <col min="3341" max="3584" width="9.140625" style="158"/>
    <col min="3585" max="3585" width="29.7109375" style="158" customWidth="1"/>
    <col min="3586" max="3586" width="27.140625" style="158" customWidth="1"/>
    <col min="3587" max="3587" width="28.42578125" style="158" customWidth="1"/>
    <col min="3588" max="3588" width="34.7109375" style="158" customWidth="1"/>
    <col min="3589" max="3590" width="9.140625" style="158"/>
    <col min="3591" max="3591" width="32.5703125" style="158" bestFit="1" customWidth="1"/>
    <col min="3592" max="3592" width="9.140625" style="158"/>
    <col min="3593" max="3593" width="10.140625" style="158" customWidth="1"/>
    <col min="3594" max="3594" width="11.140625" style="158" customWidth="1"/>
    <col min="3595" max="3595" width="30.7109375" style="158" bestFit="1" customWidth="1"/>
    <col min="3596" max="3596" width="24.7109375" style="158" customWidth="1"/>
    <col min="3597" max="3840" width="9.140625" style="158"/>
    <col min="3841" max="3841" width="29.7109375" style="158" customWidth="1"/>
    <col min="3842" max="3842" width="27.140625" style="158" customWidth="1"/>
    <col min="3843" max="3843" width="28.42578125" style="158" customWidth="1"/>
    <col min="3844" max="3844" width="34.7109375" style="158" customWidth="1"/>
    <col min="3845" max="3846" width="9.140625" style="158"/>
    <col min="3847" max="3847" width="32.5703125" style="158" bestFit="1" customWidth="1"/>
    <col min="3848" max="3848" width="9.140625" style="158"/>
    <col min="3849" max="3849" width="10.140625" style="158" customWidth="1"/>
    <col min="3850" max="3850" width="11.140625" style="158" customWidth="1"/>
    <col min="3851" max="3851" width="30.7109375" style="158" bestFit="1" customWidth="1"/>
    <col min="3852" max="3852" width="24.7109375" style="158" customWidth="1"/>
    <col min="3853" max="4096" width="9.140625" style="158"/>
    <col min="4097" max="4097" width="29.7109375" style="158" customWidth="1"/>
    <col min="4098" max="4098" width="27.140625" style="158" customWidth="1"/>
    <col min="4099" max="4099" width="28.42578125" style="158" customWidth="1"/>
    <col min="4100" max="4100" width="34.7109375" style="158" customWidth="1"/>
    <col min="4101" max="4102" width="9.140625" style="158"/>
    <col min="4103" max="4103" width="32.5703125" style="158" bestFit="1" customWidth="1"/>
    <col min="4104" max="4104" width="9.140625" style="158"/>
    <col min="4105" max="4105" width="10.140625" style="158" customWidth="1"/>
    <col min="4106" max="4106" width="11.140625" style="158" customWidth="1"/>
    <col min="4107" max="4107" width="30.7109375" style="158" bestFit="1" customWidth="1"/>
    <col min="4108" max="4108" width="24.7109375" style="158" customWidth="1"/>
    <col min="4109" max="4352" width="9.140625" style="158"/>
    <col min="4353" max="4353" width="29.7109375" style="158" customWidth="1"/>
    <col min="4354" max="4354" width="27.140625" style="158" customWidth="1"/>
    <col min="4355" max="4355" width="28.42578125" style="158" customWidth="1"/>
    <col min="4356" max="4356" width="34.7109375" style="158" customWidth="1"/>
    <col min="4357" max="4358" width="9.140625" style="158"/>
    <col min="4359" max="4359" width="32.5703125" style="158" bestFit="1" customWidth="1"/>
    <col min="4360" max="4360" width="9.140625" style="158"/>
    <col min="4361" max="4361" width="10.140625" style="158" customWidth="1"/>
    <col min="4362" max="4362" width="11.140625" style="158" customWidth="1"/>
    <col min="4363" max="4363" width="30.7109375" style="158" bestFit="1" customWidth="1"/>
    <col min="4364" max="4364" width="24.7109375" style="158" customWidth="1"/>
    <col min="4365" max="4608" width="9.140625" style="158"/>
    <col min="4609" max="4609" width="29.7109375" style="158" customWidth="1"/>
    <col min="4610" max="4610" width="27.140625" style="158" customWidth="1"/>
    <col min="4611" max="4611" width="28.42578125" style="158" customWidth="1"/>
    <col min="4612" max="4612" width="34.7109375" style="158" customWidth="1"/>
    <col min="4613" max="4614" width="9.140625" style="158"/>
    <col min="4615" max="4615" width="32.5703125" style="158" bestFit="1" customWidth="1"/>
    <col min="4616" max="4616" width="9.140625" style="158"/>
    <col min="4617" max="4617" width="10.140625" style="158" customWidth="1"/>
    <col min="4618" max="4618" width="11.140625" style="158" customWidth="1"/>
    <col min="4619" max="4619" width="30.7109375" style="158" bestFit="1" customWidth="1"/>
    <col min="4620" max="4620" width="24.7109375" style="158" customWidth="1"/>
    <col min="4621" max="4864" width="9.140625" style="158"/>
    <col min="4865" max="4865" width="29.7109375" style="158" customWidth="1"/>
    <col min="4866" max="4866" width="27.140625" style="158" customWidth="1"/>
    <col min="4867" max="4867" width="28.42578125" style="158" customWidth="1"/>
    <col min="4868" max="4868" width="34.7109375" style="158" customWidth="1"/>
    <col min="4869" max="4870" width="9.140625" style="158"/>
    <col min="4871" max="4871" width="32.5703125" style="158" bestFit="1" customWidth="1"/>
    <col min="4872" max="4872" width="9.140625" style="158"/>
    <col min="4873" max="4873" width="10.140625" style="158" customWidth="1"/>
    <col min="4874" max="4874" width="11.140625" style="158" customWidth="1"/>
    <col min="4875" max="4875" width="30.7109375" style="158" bestFit="1" customWidth="1"/>
    <col min="4876" max="4876" width="24.7109375" style="158" customWidth="1"/>
    <col min="4877" max="5120" width="9.140625" style="158"/>
    <col min="5121" max="5121" width="29.7109375" style="158" customWidth="1"/>
    <col min="5122" max="5122" width="27.140625" style="158" customWidth="1"/>
    <col min="5123" max="5123" width="28.42578125" style="158" customWidth="1"/>
    <col min="5124" max="5124" width="34.7109375" style="158" customWidth="1"/>
    <col min="5125" max="5126" width="9.140625" style="158"/>
    <col min="5127" max="5127" width="32.5703125" style="158" bestFit="1" customWidth="1"/>
    <col min="5128" max="5128" width="9.140625" style="158"/>
    <col min="5129" max="5129" width="10.140625" style="158" customWidth="1"/>
    <col min="5130" max="5130" width="11.140625" style="158" customWidth="1"/>
    <col min="5131" max="5131" width="30.7109375" style="158" bestFit="1" customWidth="1"/>
    <col min="5132" max="5132" width="24.7109375" style="158" customWidth="1"/>
    <col min="5133" max="5376" width="9.140625" style="158"/>
    <col min="5377" max="5377" width="29.7109375" style="158" customWidth="1"/>
    <col min="5378" max="5378" width="27.140625" style="158" customWidth="1"/>
    <col min="5379" max="5379" width="28.42578125" style="158" customWidth="1"/>
    <col min="5380" max="5380" width="34.7109375" style="158" customWidth="1"/>
    <col min="5381" max="5382" width="9.140625" style="158"/>
    <col min="5383" max="5383" width="32.5703125" style="158" bestFit="1" customWidth="1"/>
    <col min="5384" max="5384" width="9.140625" style="158"/>
    <col min="5385" max="5385" width="10.140625" style="158" customWidth="1"/>
    <col min="5386" max="5386" width="11.140625" style="158" customWidth="1"/>
    <col min="5387" max="5387" width="30.7109375" style="158" bestFit="1" customWidth="1"/>
    <col min="5388" max="5388" width="24.7109375" style="158" customWidth="1"/>
    <col min="5389" max="5632" width="9.140625" style="158"/>
    <col min="5633" max="5633" width="29.7109375" style="158" customWidth="1"/>
    <col min="5634" max="5634" width="27.140625" style="158" customWidth="1"/>
    <col min="5635" max="5635" width="28.42578125" style="158" customWidth="1"/>
    <col min="5636" max="5636" width="34.7109375" style="158" customWidth="1"/>
    <col min="5637" max="5638" width="9.140625" style="158"/>
    <col min="5639" max="5639" width="32.5703125" style="158" bestFit="1" customWidth="1"/>
    <col min="5640" max="5640" width="9.140625" style="158"/>
    <col min="5641" max="5641" width="10.140625" style="158" customWidth="1"/>
    <col min="5642" max="5642" width="11.140625" style="158" customWidth="1"/>
    <col min="5643" max="5643" width="30.7109375" style="158" bestFit="1" customWidth="1"/>
    <col min="5644" max="5644" width="24.7109375" style="158" customWidth="1"/>
    <col min="5645" max="5888" width="9.140625" style="158"/>
    <col min="5889" max="5889" width="29.7109375" style="158" customWidth="1"/>
    <col min="5890" max="5890" width="27.140625" style="158" customWidth="1"/>
    <col min="5891" max="5891" width="28.42578125" style="158" customWidth="1"/>
    <col min="5892" max="5892" width="34.7109375" style="158" customWidth="1"/>
    <col min="5893" max="5894" width="9.140625" style="158"/>
    <col min="5895" max="5895" width="32.5703125" style="158" bestFit="1" customWidth="1"/>
    <col min="5896" max="5896" width="9.140625" style="158"/>
    <col min="5897" max="5897" width="10.140625" style="158" customWidth="1"/>
    <col min="5898" max="5898" width="11.140625" style="158" customWidth="1"/>
    <col min="5899" max="5899" width="30.7109375" style="158" bestFit="1" customWidth="1"/>
    <col min="5900" max="5900" width="24.7109375" style="158" customWidth="1"/>
    <col min="5901" max="6144" width="9.140625" style="158"/>
    <col min="6145" max="6145" width="29.7109375" style="158" customWidth="1"/>
    <col min="6146" max="6146" width="27.140625" style="158" customWidth="1"/>
    <col min="6147" max="6147" width="28.42578125" style="158" customWidth="1"/>
    <col min="6148" max="6148" width="34.7109375" style="158" customWidth="1"/>
    <col min="6149" max="6150" width="9.140625" style="158"/>
    <col min="6151" max="6151" width="32.5703125" style="158" bestFit="1" customWidth="1"/>
    <col min="6152" max="6152" width="9.140625" style="158"/>
    <col min="6153" max="6153" width="10.140625" style="158" customWidth="1"/>
    <col min="6154" max="6154" width="11.140625" style="158" customWidth="1"/>
    <col min="6155" max="6155" width="30.7109375" style="158" bestFit="1" customWidth="1"/>
    <col min="6156" max="6156" width="24.7109375" style="158" customWidth="1"/>
    <col min="6157" max="6400" width="9.140625" style="158"/>
    <col min="6401" max="6401" width="29.7109375" style="158" customWidth="1"/>
    <col min="6402" max="6402" width="27.140625" style="158" customWidth="1"/>
    <col min="6403" max="6403" width="28.42578125" style="158" customWidth="1"/>
    <col min="6404" max="6404" width="34.7109375" style="158" customWidth="1"/>
    <col min="6405" max="6406" width="9.140625" style="158"/>
    <col min="6407" max="6407" width="32.5703125" style="158" bestFit="1" customWidth="1"/>
    <col min="6408" max="6408" width="9.140625" style="158"/>
    <col min="6409" max="6409" width="10.140625" style="158" customWidth="1"/>
    <col min="6410" max="6410" width="11.140625" style="158" customWidth="1"/>
    <col min="6411" max="6411" width="30.7109375" style="158" bestFit="1" customWidth="1"/>
    <col min="6412" max="6412" width="24.7109375" style="158" customWidth="1"/>
    <col min="6413" max="6656" width="9.140625" style="158"/>
    <col min="6657" max="6657" width="29.7109375" style="158" customWidth="1"/>
    <col min="6658" max="6658" width="27.140625" style="158" customWidth="1"/>
    <col min="6659" max="6659" width="28.42578125" style="158" customWidth="1"/>
    <col min="6660" max="6660" width="34.7109375" style="158" customWidth="1"/>
    <col min="6661" max="6662" width="9.140625" style="158"/>
    <col min="6663" max="6663" width="32.5703125" style="158" bestFit="1" customWidth="1"/>
    <col min="6664" max="6664" width="9.140625" style="158"/>
    <col min="6665" max="6665" width="10.140625" style="158" customWidth="1"/>
    <col min="6666" max="6666" width="11.140625" style="158" customWidth="1"/>
    <col min="6667" max="6667" width="30.7109375" style="158" bestFit="1" customWidth="1"/>
    <col min="6668" max="6668" width="24.7109375" style="158" customWidth="1"/>
    <col min="6669" max="6912" width="9.140625" style="158"/>
    <col min="6913" max="6913" width="29.7109375" style="158" customWidth="1"/>
    <col min="6914" max="6914" width="27.140625" style="158" customWidth="1"/>
    <col min="6915" max="6915" width="28.42578125" style="158" customWidth="1"/>
    <col min="6916" max="6916" width="34.7109375" style="158" customWidth="1"/>
    <col min="6917" max="6918" width="9.140625" style="158"/>
    <col min="6919" max="6919" width="32.5703125" style="158" bestFit="1" customWidth="1"/>
    <col min="6920" max="6920" width="9.140625" style="158"/>
    <col min="6921" max="6921" width="10.140625" style="158" customWidth="1"/>
    <col min="6922" max="6922" width="11.140625" style="158" customWidth="1"/>
    <col min="6923" max="6923" width="30.7109375" style="158" bestFit="1" customWidth="1"/>
    <col min="6924" max="6924" width="24.7109375" style="158" customWidth="1"/>
    <col min="6925" max="7168" width="9.140625" style="158"/>
    <col min="7169" max="7169" width="29.7109375" style="158" customWidth="1"/>
    <col min="7170" max="7170" width="27.140625" style="158" customWidth="1"/>
    <col min="7171" max="7171" width="28.42578125" style="158" customWidth="1"/>
    <col min="7172" max="7172" width="34.7109375" style="158" customWidth="1"/>
    <col min="7173" max="7174" width="9.140625" style="158"/>
    <col min="7175" max="7175" width="32.5703125" style="158" bestFit="1" customWidth="1"/>
    <col min="7176" max="7176" width="9.140625" style="158"/>
    <col min="7177" max="7177" width="10.140625" style="158" customWidth="1"/>
    <col min="7178" max="7178" width="11.140625" style="158" customWidth="1"/>
    <col min="7179" max="7179" width="30.7109375" style="158" bestFit="1" customWidth="1"/>
    <col min="7180" max="7180" width="24.7109375" style="158" customWidth="1"/>
    <col min="7181" max="7424" width="9.140625" style="158"/>
    <col min="7425" max="7425" width="29.7109375" style="158" customWidth="1"/>
    <col min="7426" max="7426" width="27.140625" style="158" customWidth="1"/>
    <col min="7427" max="7427" width="28.42578125" style="158" customWidth="1"/>
    <col min="7428" max="7428" width="34.7109375" style="158" customWidth="1"/>
    <col min="7429" max="7430" width="9.140625" style="158"/>
    <col min="7431" max="7431" width="32.5703125" style="158" bestFit="1" customWidth="1"/>
    <col min="7432" max="7432" width="9.140625" style="158"/>
    <col min="7433" max="7433" width="10.140625" style="158" customWidth="1"/>
    <col min="7434" max="7434" width="11.140625" style="158" customWidth="1"/>
    <col min="7435" max="7435" width="30.7109375" style="158" bestFit="1" customWidth="1"/>
    <col min="7436" max="7436" width="24.7109375" style="158" customWidth="1"/>
    <col min="7437" max="7680" width="9.140625" style="158"/>
    <col min="7681" max="7681" width="29.7109375" style="158" customWidth="1"/>
    <col min="7682" max="7682" width="27.140625" style="158" customWidth="1"/>
    <col min="7683" max="7683" width="28.42578125" style="158" customWidth="1"/>
    <col min="7684" max="7684" width="34.7109375" style="158" customWidth="1"/>
    <col min="7685" max="7686" width="9.140625" style="158"/>
    <col min="7687" max="7687" width="32.5703125" style="158" bestFit="1" customWidth="1"/>
    <col min="7688" max="7688" width="9.140625" style="158"/>
    <col min="7689" max="7689" width="10.140625" style="158" customWidth="1"/>
    <col min="7690" max="7690" width="11.140625" style="158" customWidth="1"/>
    <col min="7691" max="7691" width="30.7109375" style="158" bestFit="1" customWidth="1"/>
    <col min="7692" max="7692" width="24.7109375" style="158" customWidth="1"/>
    <col min="7693" max="7936" width="9.140625" style="158"/>
    <col min="7937" max="7937" width="29.7109375" style="158" customWidth="1"/>
    <col min="7938" max="7938" width="27.140625" style="158" customWidth="1"/>
    <col min="7939" max="7939" width="28.42578125" style="158" customWidth="1"/>
    <col min="7940" max="7940" width="34.7109375" style="158" customWidth="1"/>
    <col min="7941" max="7942" width="9.140625" style="158"/>
    <col min="7943" max="7943" width="32.5703125" style="158" bestFit="1" customWidth="1"/>
    <col min="7944" max="7944" width="9.140625" style="158"/>
    <col min="7945" max="7945" width="10.140625" style="158" customWidth="1"/>
    <col min="7946" max="7946" width="11.140625" style="158" customWidth="1"/>
    <col min="7947" max="7947" width="30.7109375" style="158" bestFit="1" customWidth="1"/>
    <col min="7948" max="7948" width="24.7109375" style="158" customWidth="1"/>
    <col min="7949" max="8192" width="9.140625" style="158"/>
    <col min="8193" max="8193" width="29.7109375" style="158" customWidth="1"/>
    <col min="8194" max="8194" width="27.140625" style="158" customWidth="1"/>
    <col min="8195" max="8195" width="28.42578125" style="158" customWidth="1"/>
    <col min="8196" max="8196" width="34.7109375" style="158" customWidth="1"/>
    <col min="8197" max="8198" width="9.140625" style="158"/>
    <col min="8199" max="8199" width="32.5703125" style="158" bestFit="1" customWidth="1"/>
    <col min="8200" max="8200" width="9.140625" style="158"/>
    <col min="8201" max="8201" width="10.140625" style="158" customWidth="1"/>
    <col min="8202" max="8202" width="11.140625" style="158" customWidth="1"/>
    <col min="8203" max="8203" width="30.7109375" style="158" bestFit="1" customWidth="1"/>
    <col min="8204" max="8204" width="24.7109375" style="158" customWidth="1"/>
    <col min="8205" max="8448" width="9.140625" style="158"/>
    <col min="8449" max="8449" width="29.7109375" style="158" customWidth="1"/>
    <col min="8450" max="8450" width="27.140625" style="158" customWidth="1"/>
    <col min="8451" max="8451" width="28.42578125" style="158" customWidth="1"/>
    <col min="8452" max="8452" width="34.7109375" style="158" customWidth="1"/>
    <col min="8453" max="8454" width="9.140625" style="158"/>
    <col min="8455" max="8455" width="32.5703125" style="158" bestFit="1" customWidth="1"/>
    <col min="8456" max="8456" width="9.140625" style="158"/>
    <col min="8457" max="8457" width="10.140625" style="158" customWidth="1"/>
    <col min="8458" max="8458" width="11.140625" style="158" customWidth="1"/>
    <col min="8459" max="8459" width="30.7109375" style="158" bestFit="1" customWidth="1"/>
    <col min="8460" max="8460" width="24.7109375" style="158" customWidth="1"/>
    <col min="8461" max="8704" width="9.140625" style="158"/>
    <col min="8705" max="8705" width="29.7109375" style="158" customWidth="1"/>
    <col min="8706" max="8706" width="27.140625" style="158" customWidth="1"/>
    <col min="8707" max="8707" width="28.42578125" style="158" customWidth="1"/>
    <col min="8708" max="8708" width="34.7109375" style="158" customWidth="1"/>
    <col min="8709" max="8710" width="9.140625" style="158"/>
    <col min="8711" max="8711" width="32.5703125" style="158" bestFit="1" customWidth="1"/>
    <col min="8712" max="8712" width="9.140625" style="158"/>
    <col min="8713" max="8713" width="10.140625" style="158" customWidth="1"/>
    <col min="8714" max="8714" width="11.140625" style="158" customWidth="1"/>
    <col min="8715" max="8715" width="30.7109375" style="158" bestFit="1" customWidth="1"/>
    <col min="8716" max="8716" width="24.7109375" style="158" customWidth="1"/>
    <col min="8717" max="8960" width="9.140625" style="158"/>
    <col min="8961" max="8961" width="29.7109375" style="158" customWidth="1"/>
    <col min="8962" max="8962" width="27.140625" style="158" customWidth="1"/>
    <col min="8963" max="8963" width="28.42578125" style="158" customWidth="1"/>
    <col min="8964" max="8964" width="34.7109375" style="158" customWidth="1"/>
    <col min="8965" max="8966" width="9.140625" style="158"/>
    <col min="8967" max="8967" width="32.5703125" style="158" bestFit="1" customWidth="1"/>
    <col min="8968" max="8968" width="9.140625" style="158"/>
    <col min="8969" max="8969" width="10.140625" style="158" customWidth="1"/>
    <col min="8970" max="8970" width="11.140625" style="158" customWidth="1"/>
    <col min="8971" max="8971" width="30.7109375" style="158" bestFit="1" customWidth="1"/>
    <col min="8972" max="8972" width="24.7109375" style="158" customWidth="1"/>
    <col min="8973" max="9216" width="9.140625" style="158"/>
    <col min="9217" max="9217" width="29.7109375" style="158" customWidth="1"/>
    <col min="9218" max="9218" width="27.140625" style="158" customWidth="1"/>
    <col min="9219" max="9219" width="28.42578125" style="158" customWidth="1"/>
    <col min="9220" max="9220" width="34.7109375" style="158" customWidth="1"/>
    <col min="9221" max="9222" width="9.140625" style="158"/>
    <col min="9223" max="9223" width="32.5703125" style="158" bestFit="1" customWidth="1"/>
    <col min="9224" max="9224" width="9.140625" style="158"/>
    <col min="9225" max="9225" width="10.140625" style="158" customWidth="1"/>
    <col min="9226" max="9226" width="11.140625" style="158" customWidth="1"/>
    <col min="9227" max="9227" width="30.7109375" style="158" bestFit="1" customWidth="1"/>
    <col min="9228" max="9228" width="24.7109375" style="158" customWidth="1"/>
    <col min="9229" max="9472" width="9.140625" style="158"/>
    <col min="9473" max="9473" width="29.7109375" style="158" customWidth="1"/>
    <col min="9474" max="9474" width="27.140625" style="158" customWidth="1"/>
    <col min="9475" max="9475" width="28.42578125" style="158" customWidth="1"/>
    <col min="9476" max="9476" width="34.7109375" style="158" customWidth="1"/>
    <col min="9477" max="9478" width="9.140625" style="158"/>
    <col min="9479" max="9479" width="32.5703125" style="158" bestFit="1" customWidth="1"/>
    <col min="9480" max="9480" width="9.140625" style="158"/>
    <col min="9481" max="9481" width="10.140625" style="158" customWidth="1"/>
    <col min="9482" max="9482" width="11.140625" style="158" customWidth="1"/>
    <col min="9483" max="9483" width="30.7109375" style="158" bestFit="1" customWidth="1"/>
    <col min="9484" max="9484" width="24.7109375" style="158" customWidth="1"/>
    <col min="9485" max="9728" width="9.140625" style="158"/>
    <col min="9729" max="9729" width="29.7109375" style="158" customWidth="1"/>
    <col min="9730" max="9730" width="27.140625" style="158" customWidth="1"/>
    <col min="9731" max="9731" width="28.42578125" style="158" customWidth="1"/>
    <col min="9732" max="9732" width="34.7109375" style="158" customWidth="1"/>
    <col min="9733" max="9734" width="9.140625" style="158"/>
    <col min="9735" max="9735" width="32.5703125" style="158" bestFit="1" customWidth="1"/>
    <col min="9736" max="9736" width="9.140625" style="158"/>
    <col min="9737" max="9737" width="10.140625" style="158" customWidth="1"/>
    <col min="9738" max="9738" width="11.140625" style="158" customWidth="1"/>
    <col min="9739" max="9739" width="30.7109375" style="158" bestFit="1" customWidth="1"/>
    <col min="9740" max="9740" width="24.7109375" style="158" customWidth="1"/>
    <col min="9741" max="9984" width="9.140625" style="158"/>
    <col min="9985" max="9985" width="29.7109375" style="158" customWidth="1"/>
    <col min="9986" max="9986" width="27.140625" style="158" customWidth="1"/>
    <col min="9987" max="9987" width="28.42578125" style="158" customWidth="1"/>
    <col min="9988" max="9988" width="34.7109375" style="158" customWidth="1"/>
    <col min="9989" max="9990" width="9.140625" style="158"/>
    <col min="9991" max="9991" width="32.5703125" style="158" bestFit="1" customWidth="1"/>
    <col min="9992" max="9992" width="9.140625" style="158"/>
    <col min="9993" max="9993" width="10.140625" style="158" customWidth="1"/>
    <col min="9994" max="9994" width="11.140625" style="158" customWidth="1"/>
    <col min="9995" max="9995" width="30.7109375" style="158" bestFit="1" customWidth="1"/>
    <col min="9996" max="9996" width="24.7109375" style="158" customWidth="1"/>
    <col min="9997" max="10240" width="9.140625" style="158"/>
    <col min="10241" max="10241" width="29.7109375" style="158" customWidth="1"/>
    <col min="10242" max="10242" width="27.140625" style="158" customWidth="1"/>
    <col min="10243" max="10243" width="28.42578125" style="158" customWidth="1"/>
    <col min="10244" max="10244" width="34.7109375" style="158" customWidth="1"/>
    <col min="10245" max="10246" width="9.140625" style="158"/>
    <col min="10247" max="10247" width="32.5703125" style="158" bestFit="1" customWidth="1"/>
    <col min="10248" max="10248" width="9.140625" style="158"/>
    <col min="10249" max="10249" width="10.140625" style="158" customWidth="1"/>
    <col min="10250" max="10250" width="11.140625" style="158" customWidth="1"/>
    <col min="10251" max="10251" width="30.7109375" style="158" bestFit="1" customWidth="1"/>
    <col min="10252" max="10252" width="24.7109375" style="158" customWidth="1"/>
    <col min="10253" max="10496" width="9.140625" style="158"/>
    <col min="10497" max="10497" width="29.7109375" style="158" customWidth="1"/>
    <col min="10498" max="10498" width="27.140625" style="158" customWidth="1"/>
    <col min="10499" max="10499" width="28.42578125" style="158" customWidth="1"/>
    <col min="10500" max="10500" width="34.7109375" style="158" customWidth="1"/>
    <col min="10501" max="10502" width="9.140625" style="158"/>
    <col min="10503" max="10503" width="32.5703125" style="158" bestFit="1" customWidth="1"/>
    <col min="10504" max="10504" width="9.140625" style="158"/>
    <col min="10505" max="10505" width="10.140625" style="158" customWidth="1"/>
    <col min="10506" max="10506" width="11.140625" style="158" customWidth="1"/>
    <col min="10507" max="10507" width="30.7109375" style="158" bestFit="1" customWidth="1"/>
    <col min="10508" max="10508" width="24.7109375" style="158" customWidth="1"/>
    <col min="10509" max="10752" width="9.140625" style="158"/>
    <col min="10753" max="10753" width="29.7109375" style="158" customWidth="1"/>
    <col min="10754" max="10754" width="27.140625" style="158" customWidth="1"/>
    <col min="10755" max="10755" width="28.42578125" style="158" customWidth="1"/>
    <col min="10756" max="10756" width="34.7109375" style="158" customWidth="1"/>
    <col min="10757" max="10758" width="9.140625" style="158"/>
    <col min="10759" max="10759" width="32.5703125" style="158" bestFit="1" customWidth="1"/>
    <col min="10760" max="10760" width="9.140625" style="158"/>
    <col min="10761" max="10761" width="10.140625" style="158" customWidth="1"/>
    <col min="10762" max="10762" width="11.140625" style="158" customWidth="1"/>
    <col min="10763" max="10763" width="30.7109375" style="158" bestFit="1" customWidth="1"/>
    <col min="10764" max="10764" width="24.7109375" style="158" customWidth="1"/>
    <col min="10765" max="11008" width="9.140625" style="158"/>
    <col min="11009" max="11009" width="29.7109375" style="158" customWidth="1"/>
    <col min="11010" max="11010" width="27.140625" style="158" customWidth="1"/>
    <col min="11011" max="11011" width="28.42578125" style="158" customWidth="1"/>
    <col min="11012" max="11012" width="34.7109375" style="158" customWidth="1"/>
    <col min="11013" max="11014" width="9.140625" style="158"/>
    <col min="11015" max="11015" width="32.5703125" style="158" bestFit="1" customWidth="1"/>
    <col min="11016" max="11016" width="9.140625" style="158"/>
    <col min="11017" max="11017" width="10.140625" style="158" customWidth="1"/>
    <col min="11018" max="11018" width="11.140625" style="158" customWidth="1"/>
    <col min="11019" max="11019" width="30.7109375" style="158" bestFit="1" customWidth="1"/>
    <col min="11020" max="11020" width="24.7109375" style="158" customWidth="1"/>
    <col min="11021" max="11264" width="9.140625" style="158"/>
    <col min="11265" max="11265" width="29.7109375" style="158" customWidth="1"/>
    <col min="11266" max="11266" width="27.140625" style="158" customWidth="1"/>
    <col min="11267" max="11267" width="28.42578125" style="158" customWidth="1"/>
    <col min="11268" max="11268" width="34.7109375" style="158" customWidth="1"/>
    <col min="11269" max="11270" width="9.140625" style="158"/>
    <col min="11271" max="11271" width="32.5703125" style="158" bestFit="1" customWidth="1"/>
    <col min="11272" max="11272" width="9.140625" style="158"/>
    <col min="11273" max="11273" width="10.140625" style="158" customWidth="1"/>
    <col min="11274" max="11274" width="11.140625" style="158" customWidth="1"/>
    <col min="11275" max="11275" width="30.7109375" style="158" bestFit="1" customWidth="1"/>
    <col min="11276" max="11276" width="24.7109375" style="158" customWidth="1"/>
    <col min="11277" max="11520" width="9.140625" style="158"/>
    <col min="11521" max="11521" width="29.7109375" style="158" customWidth="1"/>
    <col min="11522" max="11522" width="27.140625" style="158" customWidth="1"/>
    <col min="11523" max="11523" width="28.42578125" style="158" customWidth="1"/>
    <col min="11524" max="11524" width="34.7109375" style="158" customWidth="1"/>
    <col min="11525" max="11526" width="9.140625" style="158"/>
    <col min="11527" max="11527" width="32.5703125" style="158" bestFit="1" customWidth="1"/>
    <col min="11528" max="11528" width="9.140625" style="158"/>
    <col min="11529" max="11529" width="10.140625" style="158" customWidth="1"/>
    <col min="11530" max="11530" width="11.140625" style="158" customWidth="1"/>
    <col min="11531" max="11531" width="30.7109375" style="158" bestFit="1" customWidth="1"/>
    <col min="11532" max="11532" width="24.7109375" style="158" customWidth="1"/>
    <col min="11533" max="11776" width="9.140625" style="158"/>
    <col min="11777" max="11777" width="29.7109375" style="158" customWidth="1"/>
    <col min="11778" max="11778" width="27.140625" style="158" customWidth="1"/>
    <col min="11779" max="11779" width="28.42578125" style="158" customWidth="1"/>
    <col min="11780" max="11780" width="34.7109375" style="158" customWidth="1"/>
    <col min="11781" max="11782" width="9.140625" style="158"/>
    <col min="11783" max="11783" width="32.5703125" style="158" bestFit="1" customWidth="1"/>
    <col min="11784" max="11784" width="9.140625" style="158"/>
    <col min="11785" max="11785" width="10.140625" style="158" customWidth="1"/>
    <col min="11786" max="11786" width="11.140625" style="158" customWidth="1"/>
    <col min="11787" max="11787" width="30.7109375" style="158" bestFit="1" customWidth="1"/>
    <col min="11788" max="11788" width="24.7109375" style="158" customWidth="1"/>
    <col min="11789" max="12032" width="9.140625" style="158"/>
    <col min="12033" max="12033" width="29.7109375" style="158" customWidth="1"/>
    <col min="12034" max="12034" width="27.140625" style="158" customWidth="1"/>
    <col min="12035" max="12035" width="28.42578125" style="158" customWidth="1"/>
    <col min="12036" max="12036" width="34.7109375" style="158" customWidth="1"/>
    <col min="12037" max="12038" width="9.140625" style="158"/>
    <col min="12039" max="12039" width="32.5703125" style="158" bestFit="1" customWidth="1"/>
    <col min="12040" max="12040" width="9.140625" style="158"/>
    <col min="12041" max="12041" width="10.140625" style="158" customWidth="1"/>
    <col min="12042" max="12042" width="11.140625" style="158" customWidth="1"/>
    <col min="12043" max="12043" width="30.7109375" style="158" bestFit="1" customWidth="1"/>
    <col min="12044" max="12044" width="24.7109375" style="158" customWidth="1"/>
    <col min="12045" max="12288" width="9.140625" style="158"/>
    <col min="12289" max="12289" width="29.7109375" style="158" customWidth="1"/>
    <col min="12290" max="12290" width="27.140625" style="158" customWidth="1"/>
    <col min="12291" max="12291" width="28.42578125" style="158" customWidth="1"/>
    <col min="12292" max="12292" width="34.7109375" style="158" customWidth="1"/>
    <col min="12293" max="12294" width="9.140625" style="158"/>
    <col min="12295" max="12295" width="32.5703125" style="158" bestFit="1" customWidth="1"/>
    <col min="12296" max="12296" width="9.140625" style="158"/>
    <col min="12297" max="12297" width="10.140625" style="158" customWidth="1"/>
    <col min="12298" max="12298" width="11.140625" style="158" customWidth="1"/>
    <col min="12299" max="12299" width="30.7109375" style="158" bestFit="1" customWidth="1"/>
    <col min="12300" max="12300" width="24.7109375" style="158" customWidth="1"/>
    <col min="12301" max="12544" width="9.140625" style="158"/>
    <col min="12545" max="12545" width="29.7109375" style="158" customWidth="1"/>
    <col min="12546" max="12546" width="27.140625" style="158" customWidth="1"/>
    <col min="12547" max="12547" width="28.42578125" style="158" customWidth="1"/>
    <col min="12548" max="12548" width="34.7109375" style="158" customWidth="1"/>
    <col min="12549" max="12550" width="9.140625" style="158"/>
    <col min="12551" max="12551" width="32.5703125" style="158" bestFit="1" customWidth="1"/>
    <col min="12552" max="12552" width="9.140625" style="158"/>
    <col min="12553" max="12553" width="10.140625" style="158" customWidth="1"/>
    <col min="12554" max="12554" width="11.140625" style="158" customWidth="1"/>
    <col min="12555" max="12555" width="30.7109375" style="158" bestFit="1" customWidth="1"/>
    <col min="12556" max="12556" width="24.7109375" style="158" customWidth="1"/>
    <col min="12557" max="12800" width="9.140625" style="158"/>
    <col min="12801" max="12801" width="29.7109375" style="158" customWidth="1"/>
    <col min="12802" max="12802" width="27.140625" style="158" customWidth="1"/>
    <col min="12803" max="12803" width="28.42578125" style="158" customWidth="1"/>
    <col min="12804" max="12804" width="34.7109375" style="158" customWidth="1"/>
    <col min="12805" max="12806" width="9.140625" style="158"/>
    <col min="12807" max="12807" width="32.5703125" style="158" bestFit="1" customWidth="1"/>
    <col min="12808" max="12808" width="9.140625" style="158"/>
    <col min="12809" max="12809" width="10.140625" style="158" customWidth="1"/>
    <col min="12810" max="12810" width="11.140625" style="158" customWidth="1"/>
    <col min="12811" max="12811" width="30.7109375" style="158" bestFit="1" customWidth="1"/>
    <col min="12812" max="12812" width="24.7109375" style="158" customWidth="1"/>
    <col min="12813" max="13056" width="9.140625" style="158"/>
    <col min="13057" max="13057" width="29.7109375" style="158" customWidth="1"/>
    <col min="13058" max="13058" width="27.140625" style="158" customWidth="1"/>
    <col min="13059" max="13059" width="28.42578125" style="158" customWidth="1"/>
    <col min="13060" max="13060" width="34.7109375" style="158" customWidth="1"/>
    <col min="13061" max="13062" width="9.140625" style="158"/>
    <col min="13063" max="13063" width="32.5703125" style="158" bestFit="1" customWidth="1"/>
    <col min="13064" max="13064" width="9.140625" style="158"/>
    <col min="13065" max="13065" width="10.140625" style="158" customWidth="1"/>
    <col min="13066" max="13066" width="11.140625" style="158" customWidth="1"/>
    <col min="13067" max="13067" width="30.7109375" style="158" bestFit="1" customWidth="1"/>
    <col min="13068" max="13068" width="24.7109375" style="158" customWidth="1"/>
    <col min="13069" max="13312" width="9.140625" style="158"/>
    <col min="13313" max="13313" width="29.7109375" style="158" customWidth="1"/>
    <col min="13314" max="13314" width="27.140625" style="158" customWidth="1"/>
    <col min="13315" max="13315" width="28.42578125" style="158" customWidth="1"/>
    <col min="13316" max="13316" width="34.7109375" style="158" customWidth="1"/>
    <col min="13317" max="13318" width="9.140625" style="158"/>
    <col min="13319" max="13319" width="32.5703125" style="158" bestFit="1" customWidth="1"/>
    <col min="13320" max="13320" width="9.140625" style="158"/>
    <col min="13321" max="13321" width="10.140625" style="158" customWidth="1"/>
    <col min="13322" max="13322" width="11.140625" style="158" customWidth="1"/>
    <col min="13323" max="13323" width="30.7109375" style="158" bestFit="1" customWidth="1"/>
    <col min="13324" max="13324" width="24.7109375" style="158" customWidth="1"/>
    <col min="13325" max="13568" width="9.140625" style="158"/>
    <col min="13569" max="13569" width="29.7109375" style="158" customWidth="1"/>
    <col min="13570" max="13570" width="27.140625" style="158" customWidth="1"/>
    <col min="13571" max="13571" width="28.42578125" style="158" customWidth="1"/>
    <col min="13572" max="13572" width="34.7109375" style="158" customWidth="1"/>
    <col min="13573" max="13574" width="9.140625" style="158"/>
    <col min="13575" max="13575" width="32.5703125" style="158" bestFit="1" customWidth="1"/>
    <col min="13576" max="13576" width="9.140625" style="158"/>
    <col min="13577" max="13577" width="10.140625" style="158" customWidth="1"/>
    <col min="13578" max="13578" width="11.140625" style="158" customWidth="1"/>
    <col min="13579" max="13579" width="30.7109375" style="158" bestFit="1" customWidth="1"/>
    <col min="13580" max="13580" width="24.7109375" style="158" customWidth="1"/>
    <col min="13581" max="13824" width="9.140625" style="158"/>
    <col min="13825" max="13825" width="29.7109375" style="158" customWidth="1"/>
    <col min="13826" max="13826" width="27.140625" style="158" customWidth="1"/>
    <col min="13827" max="13827" width="28.42578125" style="158" customWidth="1"/>
    <col min="13828" max="13828" width="34.7109375" style="158" customWidth="1"/>
    <col min="13829" max="13830" width="9.140625" style="158"/>
    <col min="13831" max="13831" width="32.5703125" style="158" bestFit="1" customWidth="1"/>
    <col min="13832" max="13832" width="9.140625" style="158"/>
    <col min="13833" max="13833" width="10.140625" style="158" customWidth="1"/>
    <col min="13834" max="13834" width="11.140625" style="158" customWidth="1"/>
    <col min="13835" max="13835" width="30.7109375" style="158" bestFit="1" customWidth="1"/>
    <col min="13836" max="13836" width="24.7109375" style="158" customWidth="1"/>
    <col min="13837" max="14080" width="9.140625" style="158"/>
    <col min="14081" max="14081" width="29.7109375" style="158" customWidth="1"/>
    <col min="14082" max="14082" width="27.140625" style="158" customWidth="1"/>
    <col min="14083" max="14083" width="28.42578125" style="158" customWidth="1"/>
    <col min="14084" max="14084" width="34.7109375" style="158" customWidth="1"/>
    <col min="14085" max="14086" width="9.140625" style="158"/>
    <col min="14087" max="14087" width="32.5703125" style="158" bestFit="1" customWidth="1"/>
    <col min="14088" max="14088" width="9.140625" style="158"/>
    <col min="14089" max="14089" width="10.140625" style="158" customWidth="1"/>
    <col min="14090" max="14090" width="11.140625" style="158" customWidth="1"/>
    <col min="14091" max="14091" width="30.7109375" style="158" bestFit="1" customWidth="1"/>
    <col min="14092" max="14092" width="24.7109375" style="158" customWidth="1"/>
    <col min="14093" max="14336" width="9.140625" style="158"/>
    <col min="14337" max="14337" width="29.7109375" style="158" customWidth="1"/>
    <col min="14338" max="14338" width="27.140625" style="158" customWidth="1"/>
    <col min="14339" max="14339" width="28.42578125" style="158" customWidth="1"/>
    <col min="14340" max="14340" width="34.7109375" style="158" customWidth="1"/>
    <col min="14341" max="14342" width="9.140625" style="158"/>
    <col min="14343" max="14343" width="32.5703125" style="158" bestFit="1" customWidth="1"/>
    <col min="14344" max="14344" width="9.140625" style="158"/>
    <col min="14345" max="14345" width="10.140625" style="158" customWidth="1"/>
    <col min="14346" max="14346" width="11.140625" style="158" customWidth="1"/>
    <col min="14347" max="14347" width="30.7109375" style="158" bestFit="1" customWidth="1"/>
    <col min="14348" max="14348" width="24.7109375" style="158" customWidth="1"/>
    <col min="14349" max="14592" width="9.140625" style="158"/>
    <col min="14593" max="14593" width="29.7109375" style="158" customWidth="1"/>
    <col min="14594" max="14594" width="27.140625" style="158" customWidth="1"/>
    <col min="14595" max="14595" width="28.42578125" style="158" customWidth="1"/>
    <col min="14596" max="14596" width="34.7109375" style="158" customWidth="1"/>
    <col min="14597" max="14598" width="9.140625" style="158"/>
    <col min="14599" max="14599" width="32.5703125" style="158" bestFit="1" customWidth="1"/>
    <col min="14600" max="14600" width="9.140625" style="158"/>
    <col min="14601" max="14601" width="10.140625" style="158" customWidth="1"/>
    <col min="14602" max="14602" width="11.140625" style="158" customWidth="1"/>
    <col min="14603" max="14603" width="30.7109375" style="158" bestFit="1" customWidth="1"/>
    <col min="14604" max="14604" width="24.7109375" style="158" customWidth="1"/>
    <col min="14605" max="14848" width="9.140625" style="158"/>
    <col min="14849" max="14849" width="29.7109375" style="158" customWidth="1"/>
    <col min="14850" max="14850" width="27.140625" style="158" customWidth="1"/>
    <col min="14851" max="14851" width="28.42578125" style="158" customWidth="1"/>
    <col min="14852" max="14852" width="34.7109375" style="158" customWidth="1"/>
    <col min="14853" max="14854" width="9.140625" style="158"/>
    <col min="14855" max="14855" width="32.5703125" style="158" bestFit="1" customWidth="1"/>
    <col min="14856" max="14856" width="9.140625" style="158"/>
    <col min="14857" max="14857" width="10.140625" style="158" customWidth="1"/>
    <col min="14858" max="14858" width="11.140625" style="158" customWidth="1"/>
    <col min="14859" max="14859" width="30.7109375" style="158" bestFit="1" customWidth="1"/>
    <col min="14860" max="14860" width="24.7109375" style="158" customWidth="1"/>
    <col min="14861" max="15104" width="9.140625" style="158"/>
    <col min="15105" max="15105" width="29.7109375" style="158" customWidth="1"/>
    <col min="15106" max="15106" width="27.140625" style="158" customWidth="1"/>
    <col min="15107" max="15107" width="28.42578125" style="158" customWidth="1"/>
    <col min="15108" max="15108" width="34.7109375" style="158" customWidth="1"/>
    <col min="15109" max="15110" width="9.140625" style="158"/>
    <col min="15111" max="15111" width="32.5703125" style="158" bestFit="1" customWidth="1"/>
    <col min="15112" max="15112" width="9.140625" style="158"/>
    <col min="15113" max="15113" width="10.140625" style="158" customWidth="1"/>
    <col min="15114" max="15114" width="11.140625" style="158" customWidth="1"/>
    <col min="15115" max="15115" width="30.7109375" style="158" bestFit="1" customWidth="1"/>
    <col min="15116" max="15116" width="24.7109375" style="158" customWidth="1"/>
    <col min="15117" max="15360" width="9.140625" style="158"/>
    <col min="15361" max="15361" width="29.7109375" style="158" customWidth="1"/>
    <col min="15362" max="15362" width="27.140625" style="158" customWidth="1"/>
    <col min="15363" max="15363" width="28.42578125" style="158" customWidth="1"/>
    <col min="15364" max="15364" width="34.7109375" style="158" customWidth="1"/>
    <col min="15365" max="15366" width="9.140625" style="158"/>
    <col min="15367" max="15367" width="32.5703125" style="158" bestFit="1" customWidth="1"/>
    <col min="15368" max="15368" width="9.140625" style="158"/>
    <col min="15369" max="15369" width="10.140625" style="158" customWidth="1"/>
    <col min="15370" max="15370" width="11.140625" style="158" customWidth="1"/>
    <col min="15371" max="15371" width="30.7109375" style="158" bestFit="1" customWidth="1"/>
    <col min="15372" max="15372" width="24.7109375" style="158" customWidth="1"/>
    <col min="15373" max="15616" width="9.140625" style="158"/>
    <col min="15617" max="15617" width="29.7109375" style="158" customWidth="1"/>
    <col min="15618" max="15618" width="27.140625" style="158" customWidth="1"/>
    <col min="15619" max="15619" width="28.42578125" style="158" customWidth="1"/>
    <col min="15620" max="15620" width="34.7109375" style="158" customWidth="1"/>
    <col min="15621" max="15622" width="9.140625" style="158"/>
    <col min="15623" max="15623" width="32.5703125" style="158" bestFit="1" customWidth="1"/>
    <col min="15624" max="15624" width="9.140625" style="158"/>
    <col min="15625" max="15625" width="10.140625" style="158" customWidth="1"/>
    <col min="15626" max="15626" width="11.140625" style="158" customWidth="1"/>
    <col min="15627" max="15627" width="30.7109375" style="158" bestFit="1" customWidth="1"/>
    <col min="15628" max="15628" width="24.7109375" style="158" customWidth="1"/>
    <col min="15629" max="15872" width="9.140625" style="158"/>
    <col min="15873" max="15873" width="29.7109375" style="158" customWidth="1"/>
    <col min="15874" max="15874" width="27.140625" style="158" customWidth="1"/>
    <col min="15875" max="15875" width="28.42578125" style="158" customWidth="1"/>
    <col min="15876" max="15876" width="34.7109375" style="158" customWidth="1"/>
    <col min="15877" max="15878" width="9.140625" style="158"/>
    <col min="15879" max="15879" width="32.5703125" style="158" bestFit="1" customWidth="1"/>
    <col min="15880" max="15880" width="9.140625" style="158"/>
    <col min="15881" max="15881" width="10.140625" style="158" customWidth="1"/>
    <col min="15882" max="15882" width="11.140625" style="158" customWidth="1"/>
    <col min="15883" max="15883" width="30.7109375" style="158" bestFit="1" customWidth="1"/>
    <col min="15884" max="15884" width="24.7109375" style="158" customWidth="1"/>
    <col min="15885" max="16128" width="9.140625" style="158"/>
    <col min="16129" max="16129" width="29.7109375" style="158" customWidth="1"/>
    <col min="16130" max="16130" width="27.140625" style="158" customWidth="1"/>
    <col min="16131" max="16131" width="28.42578125" style="158" customWidth="1"/>
    <col min="16132" max="16132" width="34.7109375" style="158" customWidth="1"/>
    <col min="16133" max="16134" width="9.140625" style="158"/>
    <col min="16135" max="16135" width="32.5703125" style="158" bestFit="1" customWidth="1"/>
    <col min="16136" max="16136" width="9.140625" style="158"/>
    <col min="16137" max="16137" width="10.140625" style="158" customWidth="1"/>
    <col min="16138" max="16138" width="11.140625" style="158" customWidth="1"/>
    <col min="16139" max="16139" width="30.7109375" style="158" bestFit="1" customWidth="1"/>
    <col min="16140" max="16140" width="24.7109375" style="158" customWidth="1"/>
    <col min="16141" max="16384" width="9.140625" style="158"/>
  </cols>
  <sheetData>
    <row r="1" spans="1:13" x14ac:dyDescent="0.25">
      <c r="A1" s="67"/>
      <c r="B1" s="162" t="s">
        <v>2501</v>
      </c>
      <c r="C1" s="162" t="s">
        <v>2502</v>
      </c>
      <c r="D1" s="162" t="s">
        <v>2503</v>
      </c>
      <c r="G1" s="158" t="s">
        <v>2504</v>
      </c>
      <c r="H1" s="158" t="s">
        <v>2505</v>
      </c>
    </row>
    <row r="2" spans="1:13" ht="60" customHeight="1" x14ac:dyDescent="0.25">
      <c r="A2" s="67" t="s">
        <v>2229</v>
      </c>
      <c r="B2" s="163" t="s">
        <v>2506</v>
      </c>
      <c r="C2" s="163" t="s">
        <v>2507</v>
      </c>
      <c r="D2" s="163" t="s">
        <v>2508</v>
      </c>
      <c r="G2" s="158" t="str">
        <f>'Interface - Substantial impacts'!$I$24</f>
        <v>A+</v>
      </c>
      <c r="H2" s="158">
        <f>IF(VLOOKUP(G2,C16:D32,2,FALSE)=0,"",IF(VLOOKUP(G2,C16:D32,2,FALSE)&lt;9,3,IF(VLOOKUP(G2,C16:D32,2,FALSE)&gt;9,1,2)))</f>
        <v>3</v>
      </c>
      <c r="K2" s="158" t="s">
        <v>2509</v>
      </c>
      <c r="L2" s="17">
        <v>73382</v>
      </c>
      <c r="M2" s="158" t="s">
        <v>2553</v>
      </c>
    </row>
    <row r="3" spans="1:13" ht="89.25" customHeight="1" x14ac:dyDescent="0.25">
      <c r="A3" s="67" t="s">
        <v>2510</v>
      </c>
      <c r="B3" s="164">
        <v>0.05</v>
      </c>
      <c r="C3" s="163" t="s">
        <v>2511</v>
      </c>
      <c r="D3" s="163" t="s">
        <v>2512</v>
      </c>
      <c r="G3" s="154">
        <f>'Interface - Substantial impacts'!$I$25</f>
        <v>0</v>
      </c>
      <c r="H3" s="158">
        <f>IF(G3&lt;0.02,3,IF(G3&gt;0.05,1,2))</f>
        <v>3</v>
      </c>
      <c r="K3" s="158" t="s">
        <v>2513</v>
      </c>
      <c r="L3" s="17">
        <f>L2*1.1</f>
        <v>80720.200000000012</v>
      </c>
    </row>
    <row r="4" spans="1:13" ht="48" customHeight="1" x14ac:dyDescent="0.25">
      <c r="A4" s="67" t="s">
        <v>2514</v>
      </c>
      <c r="B4" s="163" t="s">
        <v>2515</v>
      </c>
      <c r="C4" s="163" t="s">
        <v>2516</v>
      </c>
      <c r="D4" s="163" t="s">
        <v>2517</v>
      </c>
      <c r="G4" s="17">
        <f>'Interface - Substantial impacts'!$I$19</f>
        <v>1.5</v>
      </c>
      <c r="H4" s="158">
        <f>IF(G4&lt;(L5-1),3,IF(G4&gt;(L5+1),1,2))</f>
        <v>3</v>
      </c>
      <c r="K4" s="158" t="s">
        <v>2518</v>
      </c>
      <c r="L4" s="17">
        <f>L2*0.9</f>
        <v>66043.8</v>
      </c>
    </row>
    <row r="5" spans="1:13" ht="50.25" customHeight="1" x14ac:dyDescent="0.25">
      <c r="A5" s="67" t="s">
        <v>2519</v>
      </c>
      <c r="B5" s="163" t="s">
        <v>2520</v>
      </c>
      <c r="C5" s="163" t="s">
        <v>2521</v>
      </c>
      <c r="D5" s="163" t="s">
        <v>2522</v>
      </c>
      <c r="G5" s="17">
        <f>'Interface - Substantial impacts'!$I$18</f>
        <v>58333</v>
      </c>
      <c r="H5" s="158">
        <f>IF(G5&lt;L4, 1, IF(G5&gt;L2,3,2))</f>
        <v>1</v>
      </c>
      <c r="K5" s="158" t="s">
        <v>2523</v>
      </c>
      <c r="L5" s="17">
        <v>3.8</v>
      </c>
      <c r="M5" s="158" t="s">
        <v>2552</v>
      </c>
    </row>
    <row r="6" spans="1:13" ht="87" customHeight="1" x14ac:dyDescent="0.25">
      <c r="A6" s="67" t="s">
        <v>2524</v>
      </c>
      <c r="B6" s="165">
        <v>0.04</v>
      </c>
      <c r="C6" s="166" t="s">
        <v>2525</v>
      </c>
      <c r="D6" s="166" t="s">
        <v>2512</v>
      </c>
      <c r="G6" s="47">
        <f>'Interface - Substantial impacts'!$I$26</f>
        <v>6.9278714274599654E-3</v>
      </c>
      <c r="H6" s="158">
        <f>IF(G6&lt;0.02,3,IF(G6&gt;0.04,1,2))</f>
        <v>3</v>
      </c>
    </row>
    <row r="7" spans="1:13" ht="40.5" customHeight="1" x14ac:dyDescent="0.25">
      <c r="A7" s="67" t="s">
        <v>2526</v>
      </c>
      <c r="B7" s="166" t="s">
        <v>2527</v>
      </c>
      <c r="C7" s="166" t="s">
        <v>2528</v>
      </c>
      <c r="D7" s="163" t="s">
        <v>2529</v>
      </c>
      <c r="G7" s="170">
        <f>'Interface - Substantial impacts'!$I$51</f>
        <v>0</v>
      </c>
      <c r="H7" s="158">
        <f>IF(G7&lt;0.94,1,IF(G7&gt;0.98,3,2))</f>
        <v>1</v>
      </c>
      <c r="L7" s="158" t="s">
        <v>2530</v>
      </c>
      <c r="M7" s="158">
        <f>MATCH(H9,H18:H20,0)</f>
        <v>2</v>
      </c>
    </row>
    <row r="8" spans="1:13" x14ac:dyDescent="0.25">
      <c r="G8" s="158" t="s">
        <v>2531</v>
      </c>
      <c r="H8" s="158">
        <f>SUM(H2:H7)/COUNT(H2:H7)</f>
        <v>2.3333333333333335</v>
      </c>
      <c r="L8" s="158" t="s">
        <v>2532</v>
      </c>
      <c r="M8" s="158">
        <f>MATCH(H13,I17:K17,0)</f>
        <v>1</v>
      </c>
    </row>
    <row r="9" spans="1:13" x14ac:dyDescent="0.25">
      <c r="G9" s="158" t="s">
        <v>2533</v>
      </c>
      <c r="H9" s="158" t="str">
        <f>IF(H8&lt;1.5,"A",IF(H8&gt;2.5,"C","B"))</f>
        <v>B</v>
      </c>
      <c r="K9" s="158" t="s">
        <v>2534</v>
      </c>
      <c r="L9" s="158" t="str">
        <f>INDEX(I18:K20,M7,M8)</f>
        <v>Unlikely to be Eligible</v>
      </c>
      <c r="M9" s="158">
        <f>MATCH(H14,I17:K17,0)</f>
        <v>1</v>
      </c>
    </row>
    <row r="10" spans="1:13" x14ac:dyDescent="0.25">
      <c r="K10" s="158" t="s">
        <v>2535</v>
      </c>
      <c r="L10" s="158" t="str">
        <f>INDEX(I18:K20,M7,M12)</f>
        <v>Unlikely to be Eligible</v>
      </c>
    </row>
    <row r="11" spans="1:13" x14ac:dyDescent="0.25">
      <c r="G11" s="158" t="s">
        <v>2536</v>
      </c>
      <c r="H11" s="158">
        <f>Calculations!$G$58</f>
        <v>2.6701383513382691E-3</v>
      </c>
      <c r="K11" s="17" t="s">
        <v>2537</v>
      </c>
      <c r="L11" s="158" t="str">
        <f>INDEX(I18:K20,M7,M13)</f>
        <v>Eligible</v>
      </c>
    </row>
    <row r="12" spans="1:13" x14ac:dyDescent="0.25">
      <c r="G12" s="158" t="s">
        <v>2538</v>
      </c>
      <c r="H12" s="158">
        <f>Calculations!$H$58</f>
        <v>2.6701383513382691E-3</v>
      </c>
      <c r="L12" s="158" t="s">
        <v>2539</v>
      </c>
      <c r="M12" s="158">
        <f>MATCH(H14,I17:K17,0)</f>
        <v>1</v>
      </c>
    </row>
    <row r="13" spans="1:13" x14ac:dyDescent="0.25">
      <c r="G13" s="158" t="s">
        <v>2540</v>
      </c>
      <c r="H13" s="158" t="str">
        <f>IF(H11&gt;0.02,"Z",IF(H11&lt;0.01,"X","Y"))</f>
        <v>X</v>
      </c>
      <c r="L13" s="158" t="s">
        <v>2541</v>
      </c>
      <c r="M13" s="158">
        <f>MATCH(H16,I17:K17,0)</f>
        <v>3</v>
      </c>
    </row>
    <row r="14" spans="1:13" x14ac:dyDescent="0.25">
      <c r="G14" s="158" t="s">
        <v>2542</v>
      </c>
      <c r="H14" s="158" t="str">
        <f>IF(H12&gt;0.02,"Z",IF(H12&lt;0.01,"X","Y"))</f>
        <v>X</v>
      </c>
    </row>
    <row r="15" spans="1:13" x14ac:dyDescent="0.25">
      <c r="A15" s="10" t="s">
        <v>952</v>
      </c>
      <c r="B15" s="10" t="s">
        <v>932</v>
      </c>
      <c r="C15" s="10" t="s">
        <v>953</v>
      </c>
      <c r="D15" s="10" t="s">
        <v>933</v>
      </c>
      <c r="G15" s="88" t="s">
        <v>2543</v>
      </c>
      <c r="H15" s="158">
        <f>Calculations!$I$58</f>
        <v>0.17599309060051799</v>
      </c>
      <c r="I15" s="266" t="s">
        <v>2439</v>
      </c>
      <c r="J15" s="266"/>
      <c r="K15" s="266"/>
    </row>
    <row r="16" spans="1:13" x14ac:dyDescent="0.25">
      <c r="A16" s="10" t="s">
        <v>954</v>
      </c>
      <c r="B16" s="10">
        <v>0</v>
      </c>
      <c r="C16" s="10" t="s">
        <v>939</v>
      </c>
      <c r="D16" s="10">
        <v>0</v>
      </c>
      <c r="G16" s="171" t="s">
        <v>2544</v>
      </c>
      <c r="H16" s="158" t="str">
        <f>IF(H15&gt;0.02,"Z",IF(H11&lt;0.01,"X","Y"))</f>
        <v>Z</v>
      </c>
      <c r="I16" s="12" t="s">
        <v>2440</v>
      </c>
      <c r="J16" s="12" t="s">
        <v>2441</v>
      </c>
      <c r="K16" s="12" t="s">
        <v>2442</v>
      </c>
    </row>
    <row r="17" spans="1:11" x14ac:dyDescent="0.25">
      <c r="A17" s="11" t="s">
        <v>955</v>
      </c>
      <c r="B17" s="11">
        <v>1</v>
      </c>
      <c r="C17" s="11" t="s">
        <v>944</v>
      </c>
      <c r="D17" s="11">
        <v>1</v>
      </c>
      <c r="G17" s="12" t="s">
        <v>2545</v>
      </c>
      <c r="H17" s="12" t="s">
        <v>2546</v>
      </c>
      <c r="I17" s="12" t="s">
        <v>2547</v>
      </c>
      <c r="J17" s="12" t="s">
        <v>2548</v>
      </c>
      <c r="K17" s="12" t="s">
        <v>2549</v>
      </c>
    </row>
    <row r="18" spans="1:11" x14ac:dyDescent="0.25">
      <c r="A18" s="260" t="s">
        <v>956</v>
      </c>
      <c r="B18" s="260">
        <v>2</v>
      </c>
      <c r="C18" s="11" t="s">
        <v>941</v>
      </c>
      <c r="D18" s="11">
        <v>2</v>
      </c>
      <c r="G18" s="12" t="s">
        <v>2446</v>
      </c>
      <c r="H18" s="12" t="s">
        <v>946</v>
      </c>
      <c r="I18" s="158" t="s">
        <v>2444</v>
      </c>
      <c r="J18" s="158" t="s">
        <v>2445</v>
      </c>
      <c r="K18" s="158" t="s">
        <v>2445</v>
      </c>
    </row>
    <row r="19" spans="1:11" x14ac:dyDescent="0.25">
      <c r="A19" s="261"/>
      <c r="B19" s="261"/>
      <c r="C19" s="11" t="s">
        <v>943</v>
      </c>
      <c r="D19" s="11">
        <v>3</v>
      </c>
      <c r="G19" s="12" t="s">
        <v>2449</v>
      </c>
      <c r="H19" s="12" t="s">
        <v>964</v>
      </c>
      <c r="I19" s="158" t="s">
        <v>2447</v>
      </c>
      <c r="J19" s="158" t="s">
        <v>2550</v>
      </c>
      <c r="K19" s="158" t="s">
        <v>2445</v>
      </c>
    </row>
    <row r="20" spans="1:11" x14ac:dyDescent="0.25">
      <c r="A20" s="262"/>
      <c r="B20" s="262"/>
      <c r="C20" s="11" t="s">
        <v>942</v>
      </c>
      <c r="D20" s="11">
        <v>4</v>
      </c>
      <c r="G20" s="12" t="s">
        <v>2451</v>
      </c>
      <c r="H20" s="12" t="s">
        <v>2551</v>
      </c>
      <c r="I20" s="158" t="s">
        <v>2447</v>
      </c>
      <c r="J20" s="158" t="s">
        <v>2447</v>
      </c>
      <c r="K20" s="158" t="s">
        <v>2450</v>
      </c>
    </row>
    <row r="21" spans="1:11" x14ac:dyDescent="0.25">
      <c r="A21" s="260" t="s">
        <v>957</v>
      </c>
      <c r="B21" s="260">
        <v>3</v>
      </c>
      <c r="C21" s="11" t="s">
        <v>937</v>
      </c>
      <c r="D21" s="11">
        <v>5</v>
      </c>
    </row>
    <row r="22" spans="1:11" x14ac:dyDescent="0.25">
      <c r="A22" s="261"/>
      <c r="B22" s="261"/>
      <c r="C22" s="11" t="s">
        <v>946</v>
      </c>
      <c r="D22" s="11">
        <v>6</v>
      </c>
      <c r="G22" s="12"/>
    </row>
    <row r="23" spans="1:11" x14ac:dyDescent="0.25">
      <c r="A23" s="262"/>
      <c r="B23" s="262"/>
      <c r="C23" s="11" t="s">
        <v>945</v>
      </c>
      <c r="D23" s="11">
        <v>7</v>
      </c>
      <c r="G23" s="12"/>
      <c r="H23" s="12"/>
    </row>
    <row r="24" spans="1:11" x14ac:dyDescent="0.25">
      <c r="A24" s="260" t="s">
        <v>958</v>
      </c>
      <c r="B24" s="260">
        <v>4</v>
      </c>
      <c r="C24" s="11" t="s">
        <v>951</v>
      </c>
      <c r="D24" s="11">
        <v>8</v>
      </c>
      <c r="G24" s="12"/>
      <c r="H24" s="12"/>
    </row>
    <row r="25" spans="1:11" x14ac:dyDescent="0.25">
      <c r="A25" s="261"/>
      <c r="B25" s="261"/>
      <c r="C25" s="11" t="s">
        <v>959</v>
      </c>
      <c r="D25" s="11">
        <v>9</v>
      </c>
      <c r="G25" s="12"/>
      <c r="H25" s="12"/>
    </row>
    <row r="26" spans="1:11" x14ac:dyDescent="0.25">
      <c r="A26" s="262"/>
      <c r="B26" s="262"/>
      <c r="C26" s="11" t="s">
        <v>950</v>
      </c>
      <c r="D26" s="11">
        <v>10</v>
      </c>
      <c r="G26" s="12"/>
      <c r="H26" s="12"/>
    </row>
    <row r="27" spans="1:11" x14ac:dyDescent="0.25">
      <c r="A27" s="260" t="s">
        <v>960</v>
      </c>
      <c r="B27" s="260">
        <v>5</v>
      </c>
      <c r="C27" s="11" t="s">
        <v>961</v>
      </c>
      <c r="D27" s="11">
        <v>11</v>
      </c>
      <c r="G27" s="12"/>
      <c r="H27" s="12"/>
    </row>
    <row r="28" spans="1:11" x14ac:dyDescent="0.25">
      <c r="A28" s="261"/>
      <c r="B28" s="261"/>
      <c r="C28" s="11" t="s">
        <v>948</v>
      </c>
      <c r="D28" s="11">
        <v>12</v>
      </c>
      <c r="G28" s="12"/>
      <c r="H28" s="12"/>
    </row>
    <row r="29" spans="1:11" x14ac:dyDescent="0.25">
      <c r="A29" s="262"/>
      <c r="B29" s="262"/>
      <c r="C29" s="11" t="s">
        <v>962</v>
      </c>
      <c r="D29" s="11">
        <v>13</v>
      </c>
      <c r="G29" s="12"/>
      <c r="H29" s="12"/>
    </row>
    <row r="30" spans="1:11" x14ac:dyDescent="0.25">
      <c r="A30" s="263" t="s">
        <v>963</v>
      </c>
      <c r="B30" s="263">
        <v>6</v>
      </c>
      <c r="C30" s="11" t="s">
        <v>947</v>
      </c>
      <c r="D30" s="11">
        <v>14</v>
      </c>
      <c r="G30" s="12"/>
      <c r="H30" s="12"/>
    </row>
    <row r="31" spans="1:11" x14ac:dyDescent="0.25">
      <c r="A31" s="264"/>
      <c r="B31" s="264"/>
      <c r="C31" s="11" t="s">
        <v>964</v>
      </c>
      <c r="D31" s="11">
        <v>15</v>
      </c>
      <c r="G31" s="12"/>
      <c r="H31" s="12"/>
    </row>
    <row r="32" spans="1:11" x14ac:dyDescent="0.25">
      <c r="A32" s="265"/>
      <c r="B32" s="265"/>
      <c r="C32" s="11" t="s">
        <v>965</v>
      </c>
      <c r="D32" s="11">
        <v>16</v>
      </c>
    </row>
  </sheetData>
  <sheetProtection sheet="1" objects="1" scenarios="1"/>
  <mergeCells count="11">
    <mergeCell ref="A27:A29"/>
    <mergeCell ref="B27:B29"/>
    <mergeCell ref="A30:A32"/>
    <mergeCell ref="B30:B32"/>
    <mergeCell ref="I15:K15"/>
    <mergeCell ref="A18:A20"/>
    <mergeCell ref="B18:B20"/>
    <mergeCell ref="A21:A23"/>
    <mergeCell ref="B21:B23"/>
    <mergeCell ref="A24:A26"/>
    <mergeCell ref="B24:B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C0EC6-298B-44B9-94C1-5B1119086A8D}">
  <sheetPr codeName="Sheet8"/>
  <dimension ref="A1:L914"/>
  <sheetViews>
    <sheetView zoomScaleNormal="100" workbookViewId="0">
      <selection activeCell="C4" sqref="C4"/>
    </sheetView>
  </sheetViews>
  <sheetFormatPr defaultRowHeight="15" x14ac:dyDescent="0.25"/>
  <cols>
    <col min="1" max="1" width="55.140625" bestFit="1" customWidth="1"/>
    <col min="2" max="2" width="21.140625" customWidth="1"/>
    <col min="3" max="3" width="18.42578125" customWidth="1"/>
    <col min="5" max="5" width="25.140625" style="168" customWidth="1"/>
    <col min="6" max="6" width="18.85546875" customWidth="1"/>
    <col min="7" max="7" width="19" customWidth="1"/>
    <col min="8" max="8" width="20.7109375" style="1" customWidth="1"/>
  </cols>
  <sheetData>
    <row r="1" spans="1:12" ht="45" x14ac:dyDescent="0.25">
      <c r="A1" s="4" t="s">
        <v>69</v>
      </c>
      <c r="B1" s="3" t="s">
        <v>67</v>
      </c>
      <c r="C1" s="3" t="s">
        <v>68</v>
      </c>
      <c r="D1" s="3" t="s">
        <v>66</v>
      </c>
      <c r="E1" s="167" t="s">
        <v>65</v>
      </c>
      <c r="F1" s="3" t="s">
        <v>2050</v>
      </c>
      <c r="G1" s="3" t="s">
        <v>64</v>
      </c>
      <c r="H1" s="2" t="s">
        <v>2049</v>
      </c>
      <c r="I1" s="17"/>
      <c r="J1" s="70"/>
      <c r="K1" s="17"/>
      <c r="L1" s="17"/>
    </row>
    <row r="2" spans="1:12" x14ac:dyDescent="0.25">
      <c r="A2" s="141" t="s">
        <v>1614</v>
      </c>
      <c r="B2" s="80">
        <v>1912</v>
      </c>
      <c r="C2" s="80">
        <v>893</v>
      </c>
      <c r="D2" s="80">
        <v>49531</v>
      </c>
      <c r="E2" s="167">
        <v>10630</v>
      </c>
      <c r="F2" s="73">
        <v>8.4</v>
      </c>
      <c r="G2">
        <v>301</v>
      </c>
      <c r="H2" s="72">
        <f t="shared" ref="H2:H65" si="0">G2/C2</f>
        <v>0.33706606942889139</v>
      </c>
      <c r="I2" s="17"/>
      <c r="J2" s="17"/>
      <c r="K2" s="17"/>
      <c r="L2" s="17"/>
    </row>
    <row r="3" spans="1:12" x14ac:dyDescent="0.25">
      <c r="A3" s="141" t="s">
        <v>971</v>
      </c>
      <c r="B3" s="80">
        <v>820</v>
      </c>
      <c r="C3" s="80">
        <v>419</v>
      </c>
      <c r="D3" s="80">
        <v>71500</v>
      </c>
      <c r="E3" s="167">
        <v>11226</v>
      </c>
      <c r="F3" s="73">
        <v>8.6</v>
      </c>
      <c r="G3">
        <v>84</v>
      </c>
      <c r="H3" s="72">
        <f t="shared" si="0"/>
        <v>0.20047732696897375</v>
      </c>
      <c r="I3" s="17"/>
      <c r="J3" s="17"/>
      <c r="K3" s="17"/>
      <c r="L3" s="17"/>
    </row>
    <row r="4" spans="1:12" x14ac:dyDescent="0.25">
      <c r="A4" s="141" t="s">
        <v>973</v>
      </c>
      <c r="B4" s="80">
        <v>1233</v>
      </c>
      <c r="C4" s="80">
        <v>611</v>
      </c>
      <c r="D4" s="80">
        <v>58333</v>
      </c>
      <c r="E4" s="167">
        <v>9366</v>
      </c>
      <c r="F4" s="73">
        <v>1.5</v>
      </c>
      <c r="G4">
        <v>217</v>
      </c>
      <c r="H4" s="72">
        <f t="shared" si="0"/>
        <v>0.35515548281505727</v>
      </c>
    </row>
    <row r="5" spans="1:12" x14ac:dyDescent="0.25">
      <c r="A5" s="141" t="s">
        <v>2242</v>
      </c>
      <c r="B5" s="80">
        <v>3008</v>
      </c>
      <c r="C5" s="80">
        <v>1230</v>
      </c>
      <c r="D5" s="80">
        <v>109387</v>
      </c>
      <c r="E5" s="167">
        <v>9472</v>
      </c>
      <c r="F5" s="73">
        <v>1.9</v>
      </c>
      <c r="G5">
        <v>245</v>
      </c>
      <c r="H5" s="72">
        <f t="shared" si="0"/>
        <v>0.1991869918699187</v>
      </c>
    </row>
    <row r="6" spans="1:12" x14ac:dyDescent="0.25">
      <c r="A6" s="141" t="s">
        <v>1813</v>
      </c>
      <c r="B6" s="80">
        <v>2253</v>
      </c>
      <c r="C6" s="80">
        <v>1224</v>
      </c>
      <c r="D6" s="80">
        <v>32841</v>
      </c>
      <c r="E6" s="167">
        <v>10360</v>
      </c>
      <c r="F6" s="73">
        <v>5.5</v>
      </c>
      <c r="G6">
        <v>697</v>
      </c>
      <c r="H6" s="72">
        <f t="shared" si="0"/>
        <v>0.56944444444444442</v>
      </c>
    </row>
    <row r="7" spans="1:12" x14ac:dyDescent="0.25">
      <c r="A7" s="141" t="s">
        <v>1761</v>
      </c>
      <c r="B7" s="80">
        <v>386</v>
      </c>
      <c r="C7" s="80">
        <v>220</v>
      </c>
      <c r="D7" s="80">
        <v>37083</v>
      </c>
      <c r="E7" s="167">
        <v>17947</v>
      </c>
      <c r="F7" s="73">
        <v>11.6</v>
      </c>
      <c r="G7">
        <v>97</v>
      </c>
      <c r="H7" s="72">
        <f t="shared" si="0"/>
        <v>0.44090909090909092</v>
      </c>
    </row>
    <row r="8" spans="1:12" x14ac:dyDescent="0.25">
      <c r="A8" s="141" t="s">
        <v>1877</v>
      </c>
      <c r="B8" s="80">
        <v>2735</v>
      </c>
      <c r="C8" s="80">
        <v>1065</v>
      </c>
      <c r="D8" s="80">
        <v>65000</v>
      </c>
      <c r="E8" s="167">
        <v>14474</v>
      </c>
      <c r="F8" s="73">
        <v>0.8</v>
      </c>
      <c r="G8">
        <v>328</v>
      </c>
      <c r="H8" s="72">
        <f t="shared" si="0"/>
        <v>0.30798122065727701</v>
      </c>
    </row>
    <row r="9" spans="1:12" x14ac:dyDescent="0.25">
      <c r="A9" s="141" t="s">
        <v>2010</v>
      </c>
      <c r="B9" s="80">
        <v>150</v>
      </c>
      <c r="C9" s="80">
        <v>60</v>
      </c>
      <c r="D9" s="80">
        <v>59688</v>
      </c>
      <c r="E9" s="167">
        <v>44689</v>
      </c>
      <c r="F9" s="73">
        <v>0</v>
      </c>
      <c r="G9">
        <v>4</v>
      </c>
      <c r="H9" s="72">
        <f t="shared" si="0"/>
        <v>6.6666666666666666E-2</v>
      </c>
    </row>
    <row r="10" spans="1:12" x14ac:dyDescent="0.25">
      <c r="A10" s="141" t="s">
        <v>975</v>
      </c>
      <c r="B10" s="80">
        <v>17804</v>
      </c>
      <c r="C10" s="80">
        <v>8672</v>
      </c>
      <c r="D10" s="80">
        <v>45929</v>
      </c>
      <c r="E10" s="167">
        <v>3467</v>
      </c>
      <c r="F10" s="73">
        <v>4.3</v>
      </c>
      <c r="G10">
        <v>4760</v>
      </c>
      <c r="H10" s="72">
        <f t="shared" si="0"/>
        <v>0.54889298892988925</v>
      </c>
    </row>
    <row r="11" spans="1:12" x14ac:dyDescent="0.25">
      <c r="A11" s="141" t="s">
        <v>977</v>
      </c>
      <c r="B11" s="80">
        <v>7483</v>
      </c>
      <c r="C11" s="80">
        <v>2997</v>
      </c>
      <c r="D11" s="80">
        <v>73913</v>
      </c>
      <c r="E11" s="167">
        <v>17401</v>
      </c>
      <c r="F11" s="73">
        <v>1</v>
      </c>
      <c r="G11">
        <v>212</v>
      </c>
      <c r="H11" s="72">
        <f t="shared" si="0"/>
        <v>7.0737404070737406E-2</v>
      </c>
    </row>
    <row r="12" spans="1:12" x14ac:dyDescent="0.25">
      <c r="A12" s="141" t="s">
        <v>1925</v>
      </c>
      <c r="B12" s="80">
        <v>708</v>
      </c>
      <c r="C12" s="80">
        <v>317</v>
      </c>
      <c r="D12" s="80">
        <v>58672</v>
      </c>
      <c r="E12" s="167">
        <v>7292</v>
      </c>
      <c r="F12" s="73">
        <v>8.8000000000000007</v>
      </c>
      <c r="G12">
        <v>86</v>
      </c>
      <c r="H12" s="72">
        <f t="shared" si="0"/>
        <v>0.27129337539432175</v>
      </c>
    </row>
    <row r="13" spans="1:12" x14ac:dyDescent="0.25">
      <c r="A13" s="141" t="s">
        <v>2243</v>
      </c>
      <c r="B13" s="80">
        <v>44</v>
      </c>
      <c r="C13" s="80">
        <v>34</v>
      </c>
      <c r="D13" s="80">
        <v>48250</v>
      </c>
      <c r="E13" s="167">
        <v>12893</v>
      </c>
      <c r="F13" s="73">
        <v>8</v>
      </c>
      <c r="G13">
        <v>6</v>
      </c>
      <c r="H13" s="72">
        <f t="shared" si="0"/>
        <v>0.17647058823529413</v>
      </c>
    </row>
    <row r="14" spans="1:12" x14ac:dyDescent="0.25">
      <c r="A14" s="141" t="s">
        <v>979</v>
      </c>
      <c r="B14" s="80">
        <v>13705</v>
      </c>
      <c r="C14" s="80">
        <v>7412</v>
      </c>
      <c r="D14" s="80">
        <v>54572</v>
      </c>
      <c r="E14" s="167">
        <v>5589</v>
      </c>
      <c r="F14" s="73">
        <v>2.4</v>
      </c>
      <c r="G14">
        <v>2812</v>
      </c>
      <c r="H14" s="72">
        <f t="shared" si="0"/>
        <v>0.37938478143550997</v>
      </c>
    </row>
    <row r="15" spans="1:12" x14ac:dyDescent="0.25">
      <c r="A15" s="141" t="s">
        <v>1661</v>
      </c>
      <c r="B15" s="80">
        <v>162</v>
      </c>
      <c r="C15" s="80">
        <v>105</v>
      </c>
      <c r="D15" s="80">
        <v>97083</v>
      </c>
      <c r="E15" s="167">
        <v>59270</v>
      </c>
      <c r="F15" s="73">
        <v>0</v>
      </c>
      <c r="G15">
        <v>28</v>
      </c>
      <c r="H15" s="72">
        <f t="shared" si="0"/>
        <v>0.26666666666666666</v>
      </c>
    </row>
    <row r="16" spans="1:12" x14ac:dyDescent="0.25">
      <c r="A16" s="141" t="s">
        <v>981</v>
      </c>
      <c r="B16" s="80">
        <v>451</v>
      </c>
      <c r="C16" s="80">
        <v>180</v>
      </c>
      <c r="D16" s="80">
        <v>60313</v>
      </c>
      <c r="E16" s="167">
        <v>9396</v>
      </c>
      <c r="F16" s="73">
        <v>2</v>
      </c>
      <c r="G16">
        <v>91</v>
      </c>
      <c r="H16" s="72">
        <f t="shared" si="0"/>
        <v>0.50555555555555554</v>
      </c>
    </row>
    <row r="17" spans="1:8" x14ac:dyDescent="0.25">
      <c r="A17" s="141" t="s">
        <v>983</v>
      </c>
      <c r="B17" s="80">
        <v>384</v>
      </c>
      <c r="C17" s="80">
        <v>175</v>
      </c>
      <c r="D17" s="80">
        <v>47500</v>
      </c>
      <c r="E17" s="167">
        <v>31809</v>
      </c>
      <c r="F17" s="73">
        <v>3</v>
      </c>
      <c r="G17">
        <v>97</v>
      </c>
      <c r="H17" s="72">
        <f t="shared" si="0"/>
        <v>0.55428571428571427</v>
      </c>
    </row>
    <row r="18" spans="1:8" x14ac:dyDescent="0.25">
      <c r="A18" s="141" t="s">
        <v>985</v>
      </c>
      <c r="B18" s="80">
        <v>614</v>
      </c>
      <c r="C18" s="80">
        <v>288</v>
      </c>
      <c r="D18" s="80">
        <v>49423</v>
      </c>
      <c r="E18" s="167">
        <v>12626</v>
      </c>
      <c r="F18" s="73">
        <v>3.4</v>
      </c>
      <c r="G18">
        <v>204</v>
      </c>
      <c r="H18" s="72">
        <f t="shared" si="0"/>
        <v>0.70833333333333337</v>
      </c>
    </row>
    <row r="19" spans="1:8" x14ac:dyDescent="0.25">
      <c r="A19" s="141" t="s">
        <v>1834</v>
      </c>
      <c r="B19" s="80">
        <v>33019</v>
      </c>
      <c r="C19" s="80">
        <v>11014</v>
      </c>
      <c r="D19" s="80">
        <v>112967</v>
      </c>
      <c r="E19" s="167">
        <v>5918</v>
      </c>
      <c r="F19" s="73">
        <v>1.7</v>
      </c>
      <c r="G19">
        <v>1656</v>
      </c>
      <c r="H19" s="72">
        <f t="shared" si="0"/>
        <v>0.15035409478845108</v>
      </c>
    </row>
    <row r="20" spans="1:8" x14ac:dyDescent="0.25">
      <c r="A20" s="141" t="s">
        <v>63</v>
      </c>
      <c r="B20" s="80">
        <v>0</v>
      </c>
      <c r="C20" s="80">
        <v>178</v>
      </c>
      <c r="D20" s="80"/>
      <c r="E20" s="167" t="s">
        <v>0</v>
      </c>
      <c r="F20" s="73" t="s">
        <v>1</v>
      </c>
      <c r="G20">
        <v>0</v>
      </c>
      <c r="H20" s="72">
        <f t="shared" si="0"/>
        <v>0</v>
      </c>
    </row>
    <row r="21" spans="1:8" x14ac:dyDescent="0.25">
      <c r="A21" s="141" t="s">
        <v>1884</v>
      </c>
      <c r="B21" s="80">
        <v>3420</v>
      </c>
      <c r="C21" s="80">
        <v>1548</v>
      </c>
      <c r="D21" s="80">
        <v>45663</v>
      </c>
      <c r="E21" s="167">
        <v>14805</v>
      </c>
      <c r="F21" s="73">
        <v>3.2</v>
      </c>
      <c r="G21">
        <v>718</v>
      </c>
      <c r="H21" s="72">
        <f t="shared" si="0"/>
        <v>0.46382428940568476</v>
      </c>
    </row>
    <row r="22" spans="1:8" x14ac:dyDescent="0.25">
      <c r="A22" s="141" t="s">
        <v>1626</v>
      </c>
      <c r="B22" s="80">
        <v>17512</v>
      </c>
      <c r="C22" s="80">
        <v>7328</v>
      </c>
      <c r="D22" s="80">
        <v>60890</v>
      </c>
      <c r="E22" s="167">
        <v>4956</v>
      </c>
      <c r="F22" s="73">
        <v>4.8</v>
      </c>
      <c r="G22">
        <v>3230</v>
      </c>
      <c r="H22" s="72">
        <f t="shared" si="0"/>
        <v>0.44077510917030566</v>
      </c>
    </row>
    <row r="23" spans="1:8" x14ac:dyDescent="0.25">
      <c r="A23" s="141" t="s">
        <v>987</v>
      </c>
      <c r="B23" s="80">
        <v>1339</v>
      </c>
      <c r="C23" s="80">
        <v>800</v>
      </c>
      <c r="D23" s="80">
        <v>35069</v>
      </c>
      <c r="E23" s="167">
        <v>8419</v>
      </c>
      <c r="F23" s="73">
        <v>5.8</v>
      </c>
      <c r="G23">
        <v>416</v>
      </c>
      <c r="H23" s="72">
        <f t="shared" si="0"/>
        <v>0.52</v>
      </c>
    </row>
    <row r="24" spans="1:8" x14ac:dyDescent="0.25">
      <c r="A24" s="141" t="s">
        <v>1450</v>
      </c>
      <c r="B24" s="80">
        <v>53728</v>
      </c>
      <c r="C24" s="80">
        <v>21151</v>
      </c>
      <c r="D24" s="80">
        <v>90162</v>
      </c>
      <c r="E24" s="167">
        <v>3501</v>
      </c>
      <c r="F24" s="73">
        <v>3.3</v>
      </c>
      <c r="G24">
        <v>5448</v>
      </c>
      <c r="H24" s="72">
        <f t="shared" si="0"/>
        <v>0.25757647392558269</v>
      </c>
    </row>
    <row r="25" spans="1:8" x14ac:dyDescent="0.25">
      <c r="A25" s="141" t="s">
        <v>1979</v>
      </c>
      <c r="B25" s="80">
        <v>71</v>
      </c>
      <c r="C25" s="80">
        <v>54</v>
      </c>
      <c r="D25" s="80">
        <v>53558</v>
      </c>
      <c r="E25" s="167">
        <v>5391</v>
      </c>
      <c r="F25" s="73">
        <v>0</v>
      </c>
      <c r="G25">
        <v>10</v>
      </c>
      <c r="H25" s="72">
        <f t="shared" si="0"/>
        <v>0.18518518518518517</v>
      </c>
    </row>
    <row r="26" spans="1:8" x14ac:dyDescent="0.25">
      <c r="A26" s="141" t="s">
        <v>2033</v>
      </c>
      <c r="B26" s="80">
        <v>10276</v>
      </c>
      <c r="C26" s="80">
        <v>3022</v>
      </c>
      <c r="D26" s="80">
        <v>105664</v>
      </c>
      <c r="E26" s="167">
        <v>4501</v>
      </c>
      <c r="F26" s="73">
        <v>5.6</v>
      </c>
      <c r="G26">
        <v>715</v>
      </c>
      <c r="H26" s="72">
        <f t="shared" si="0"/>
        <v>0.23659827928524158</v>
      </c>
    </row>
    <row r="27" spans="1:8" x14ac:dyDescent="0.25">
      <c r="A27" s="141" t="s">
        <v>1767</v>
      </c>
      <c r="B27" s="80">
        <v>668</v>
      </c>
      <c r="C27" s="80">
        <v>327</v>
      </c>
      <c r="D27" s="80">
        <v>61875</v>
      </c>
      <c r="E27" s="167">
        <v>26530</v>
      </c>
      <c r="F27" s="73">
        <v>0</v>
      </c>
      <c r="G27">
        <v>103</v>
      </c>
      <c r="H27" s="72">
        <f t="shared" si="0"/>
        <v>0.3149847094801223</v>
      </c>
    </row>
    <row r="28" spans="1:8" x14ac:dyDescent="0.25">
      <c r="A28" s="141" t="s">
        <v>989</v>
      </c>
      <c r="B28" s="80">
        <v>2451</v>
      </c>
      <c r="C28" s="80">
        <v>1037</v>
      </c>
      <c r="D28" s="80">
        <v>59395</v>
      </c>
      <c r="E28" s="167">
        <v>7177</v>
      </c>
      <c r="F28" s="73">
        <v>2.2000000000000002</v>
      </c>
      <c r="G28">
        <v>584</v>
      </c>
      <c r="H28" s="72">
        <f t="shared" si="0"/>
        <v>0.56316297010607519</v>
      </c>
    </row>
    <row r="29" spans="1:8" x14ac:dyDescent="0.25">
      <c r="A29" s="141" t="s">
        <v>991</v>
      </c>
      <c r="B29" s="80">
        <v>425</v>
      </c>
      <c r="C29" s="80">
        <v>232</v>
      </c>
      <c r="D29" s="80">
        <v>52143</v>
      </c>
      <c r="E29" s="167">
        <v>10511</v>
      </c>
      <c r="F29" s="73">
        <v>3.3</v>
      </c>
      <c r="G29">
        <v>92</v>
      </c>
      <c r="H29" s="72">
        <f t="shared" si="0"/>
        <v>0.39655172413793105</v>
      </c>
    </row>
    <row r="30" spans="1:8" x14ac:dyDescent="0.25">
      <c r="A30" s="141" t="s">
        <v>1795</v>
      </c>
      <c r="B30" s="80">
        <v>329</v>
      </c>
      <c r="C30" s="80">
        <v>197</v>
      </c>
      <c r="D30" s="80">
        <v>40938</v>
      </c>
      <c r="E30" s="167">
        <v>7037</v>
      </c>
      <c r="F30" s="73">
        <v>13.3</v>
      </c>
      <c r="G30">
        <v>98</v>
      </c>
      <c r="H30" s="72">
        <f t="shared" si="0"/>
        <v>0.49746192893401014</v>
      </c>
    </row>
    <row r="31" spans="1:8" x14ac:dyDescent="0.25">
      <c r="A31" s="141" t="s">
        <v>1707</v>
      </c>
      <c r="B31" s="80">
        <v>1141</v>
      </c>
      <c r="C31" s="80">
        <v>436</v>
      </c>
      <c r="D31" s="80">
        <v>54773</v>
      </c>
      <c r="E31" s="167">
        <v>11861</v>
      </c>
      <c r="F31" s="73">
        <v>8.6999999999999993</v>
      </c>
      <c r="G31">
        <v>144</v>
      </c>
      <c r="H31" s="72">
        <f t="shared" si="0"/>
        <v>0.33027522935779818</v>
      </c>
    </row>
    <row r="32" spans="1:8" x14ac:dyDescent="0.25">
      <c r="A32" s="141" t="s">
        <v>1478</v>
      </c>
      <c r="B32" s="80">
        <v>557</v>
      </c>
      <c r="C32" s="80">
        <v>290</v>
      </c>
      <c r="D32" s="80">
        <v>54219</v>
      </c>
      <c r="E32" s="167">
        <v>12015</v>
      </c>
      <c r="F32" s="73">
        <v>8.4</v>
      </c>
      <c r="G32">
        <v>92</v>
      </c>
      <c r="H32" s="72">
        <f t="shared" si="0"/>
        <v>0.31724137931034485</v>
      </c>
    </row>
    <row r="33" spans="1:8" x14ac:dyDescent="0.25">
      <c r="A33" s="141" t="s">
        <v>993</v>
      </c>
      <c r="B33" s="80">
        <v>1679</v>
      </c>
      <c r="C33" s="80">
        <v>984</v>
      </c>
      <c r="D33" s="80">
        <v>31523</v>
      </c>
      <c r="E33" s="167">
        <v>9167</v>
      </c>
      <c r="F33" s="73">
        <v>8.8000000000000007</v>
      </c>
      <c r="G33">
        <v>640</v>
      </c>
      <c r="H33" s="72">
        <f t="shared" si="0"/>
        <v>0.65040650406504064</v>
      </c>
    </row>
    <row r="34" spans="1:8" x14ac:dyDescent="0.25">
      <c r="A34" s="141" t="s">
        <v>995</v>
      </c>
      <c r="B34" s="80">
        <v>25180</v>
      </c>
      <c r="C34" s="80">
        <v>10949</v>
      </c>
      <c r="D34" s="80">
        <v>48730</v>
      </c>
      <c r="E34" s="167">
        <v>3158</v>
      </c>
      <c r="F34" s="73">
        <v>3.6</v>
      </c>
      <c r="G34">
        <v>6928</v>
      </c>
      <c r="H34" s="72">
        <f t="shared" si="0"/>
        <v>0.63275184948397112</v>
      </c>
    </row>
    <row r="35" spans="1:8" x14ac:dyDescent="0.25">
      <c r="A35" s="141" t="s">
        <v>1908</v>
      </c>
      <c r="B35" s="80">
        <v>115</v>
      </c>
      <c r="C35" s="80">
        <v>77</v>
      </c>
      <c r="D35" s="80">
        <v>58333</v>
      </c>
      <c r="E35" s="167">
        <v>33929</v>
      </c>
      <c r="F35" s="73">
        <v>3.4</v>
      </c>
      <c r="G35">
        <v>27</v>
      </c>
      <c r="H35" s="72">
        <f t="shared" si="0"/>
        <v>0.35064935064935066</v>
      </c>
    </row>
    <row r="36" spans="1:8" x14ac:dyDescent="0.25">
      <c r="A36" s="141" t="s">
        <v>997</v>
      </c>
      <c r="B36" s="80">
        <v>1547</v>
      </c>
      <c r="C36" s="80">
        <v>656</v>
      </c>
      <c r="D36" s="80">
        <v>85463</v>
      </c>
      <c r="E36" s="167">
        <v>8687</v>
      </c>
      <c r="F36" s="73">
        <v>2.2999999999999998</v>
      </c>
      <c r="G36">
        <v>110</v>
      </c>
      <c r="H36" s="72">
        <f t="shared" si="0"/>
        <v>0.1676829268292683</v>
      </c>
    </row>
    <row r="37" spans="1:8" x14ac:dyDescent="0.25">
      <c r="A37" s="141" t="s">
        <v>1799</v>
      </c>
      <c r="B37" s="80">
        <v>1454</v>
      </c>
      <c r="C37" s="80">
        <v>890</v>
      </c>
      <c r="D37" s="80">
        <v>46452</v>
      </c>
      <c r="E37" s="167">
        <v>6003</v>
      </c>
      <c r="F37" s="73">
        <v>2.2000000000000002</v>
      </c>
      <c r="G37">
        <v>231</v>
      </c>
      <c r="H37" s="72">
        <f t="shared" si="0"/>
        <v>0.25955056179775282</v>
      </c>
    </row>
    <row r="38" spans="1:8" x14ac:dyDescent="0.25">
      <c r="A38" s="141" t="s">
        <v>1741</v>
      </c>
      <c r="B38" s="80">
        <v>257</v>
      </c>
      <c r="C38" s="80">
        <v>175</v>
      </c>
      <c r="D38" s="80">
        <v>42344</v>
      </c>
      <c r="E38" s="167">
        <v>7549</v>
      </c>
      <c r="F38" s="73">
        <v>1.6</v>
      </c>
      <c r="G38">
        <v>107</v>
      </c>
      <c r="H38" s="72">
        <f t="shared" si="0"/>
        <v>0.61142857142857143</v>
      </c>
    </row>
    <row r="39" spans="1:8" x14ac:dyDescent="0.25">
      <c r="A39" s="141" t="s">
        <v>1717</v>
      </c>
      <c r="B39" s="80">
        <v>487</v>
      </c>
      <c r="C39" s="80">
        <v>202</v>
      </c>
      <c r="D39" s="80">
        <v>36406</v>
      </c>
      <c r="E39" s="167">
        <v>10232</v>
      </c>
      <c r="F39" s="73">
        <v>6.1</v>
      </c>
      <c r="G39">
        <v>129</v>
      </c>
      <c r="H39" s="72">
        <f t="shared" si="0"/>
        <v>0.63861386138613863</v>
      </c>
    </row>
    <row r="40" spans="1:8" x14ac:dyDescent="0.25">
      <c r="A40" s="141" t="s">
        <v>1848</v>
      </c>
      <c r="B40" s="80">
        <v>1308</v>
      </c>
      <c r="C40" s="80">
        <v>653</v>
      </c>
      <c r="D40" s="80">
        <v>38500</v>
      </c>
      <c r="E40" s="167">
        <v>10663</v>
      </c>
      <c r="F40" s="73">
        <v>3.7</v>
      </c>
      <c r="G40">
        <v>373</v>
      </c>
      <c r="H40" s="72">
        <f t="shared" si="0"/>
        <v>0.57120980091883611</v>
      </c>
    </row>
    <row r="41" spans="1:8" x14ac:dyDescent="0.25">
      <c r="A41" s="141" t="s">
        <v>62</v>
      </c>
      <c r="B41" s="80">
        <v>41</v>
      </c>
      <c r="C41" s="80">
        <v>19</v>
      </c>
      <c r="D41" s="80">
        <v>49375</v>
      </c>
      <c r="E41" s="167">
        <v>35672</v>
      </c>
      <c r="F41" s="73">
        <v>0</v>
      </c>
      <c r="G41">
        <v>4</v>
      </c>
      <c r="H41" s="72">
        <f t="shared" si="0"/>
        <v>0.21052631578947367</v>
      </c>
    </row>
    <row r="42" spans="1:8" x14ac:dyDescent="0.25">
      <c r="A42" s="141" t="s">
        <v>1512</v>
      </c>
      <c r="B42" s="80">
        <v>601</v>
      </c>
      <c r="C42" s="80">
        <v>271</v>
      </c>
      <c r="D42" s="80">
        <v>50000</v>
      </c>
      <c r="E42" s="167">
        <v>15123</v>
      </c>
      <c r="F42" s="73">
        <v>7.7</v>
      </c>
      <c r="G42">
        <v>161</v>
      </c>
      <c r="H42" s="72">
        <f t="shared" si="0"/>
        <v>0.59409594095940954</v>
      </c>
    </row>
    <row r="43" spans="1:8" x14ac:dyDescent="0.25">
      <c r="A43" s="141" t="s">
        <v>61</v>
      </c>
      <c r="B43" s="80">
        <v>153</v>
      </c>
      <c r="C43" s="80">
        <v>85</v>
      </c>
      <c r="D43" s="80">
        <v>63625</v>
      </c>
      <c r="E43" s="167">
        <v>26257</v>
      </c>
      <c r="F43" s="73">
        <v>7.5</v>
      </c>
      <c r="G43">
        <v>45</v>
      </c>
      <c r="H43" s="72">
        <f t="shared" si="0"/>
        <v>0.52941176470588236</v>
      </c>
    </row>
    <row r="44" spans="1:8" x14ac:dyDescent="0.25">
      <c r="A44" s="141" t="s">
        <v>999</v>
      </c>
      <c r="B44" s="80">
        <v>2589</v>
      </c>
      <c r="C44" s="80">
        <v>1010</v>
      </c>
      <c r="D44" s="80">
        <v>66875</v>
      </c>
      <c r="E44" s="167">
        <v>12909</v>
      </c>
      <c r="F44" s="73">
        <v>1.4</v>
      </c>
      <c r="G44">
        <v>263</v>
      </c>
      <c r="H44" s="72">
        <f t="shared" si="0"/>
        <v>0.26039603960396041</v>
      </c>
    </row>
    <row r="45" spans="1:8" x14ac:dyDescent="0.25">
      <c r="A45" s="141" t="s">
        <v>1571</v>
      </c>
      <c r="B45" s="80">
        <v>618</v>
      </c>
      <c r="C45" s="80">
        <v>279</v>
      </c>
      <c r="D45" s="80">
        <v>52813</v>
      </c>
      <c r="E45" s="167">
        <v>16827</v>
      </c>
      <c r="F45" s="73">
        <v>2.2999999999999998</v>
      </c>
      <c r="G45">
        <v>179</v>
      </c>
      <c r="H45" s="72">
        <f t="shared" si="0"/>
        <v>0.64157706093189959</v>
      </c>
    </row>
    <row r="46" spans="1:8" x14ac:dyDescent="0.25">
      <c r="A46" s="141" t="s">
        <v>1489</v>
      </c>
      <c r="B46" s="80">
        <v>364</v>
      </c>
      <c r="C46" s="80">
        <v>199</v>
      </c>
      <c r="D46" s="80">
        <v>45000</v>
      </c>
      <c r="E46" s="167">
        <v>14915</v>
      </c>
      <c r="F46" s="73">
        <v>7.7</v>
      </c>
      <c r="G46">
        <v>90</v>
      </c>
      <c r="H46" s="72">
        <f t="shared" si="0"/>
        <v>0.45226130653266333</v>
      </c>
    </row>
    <row r="47" spans="1:8" x14ac:dyDescent="0.25">
      <c r="A47" s="141" t="s">
        <v>2244</v>
      </c>
      <c r="B47" s="80">
        <v>17</v>
      </c>
      <c r="C47" s="80">
        <v>10</v>
      </c>
      <c r="D47" s="80">
        <v>55625</v>
      </c>
      <c r="E47" s="167">
        <v>6158</v>
      </c>
      <c r="F47" s="73">
        <v>14.3</v>
      </c>
      <c r="G47">
        <v>0</v>
      </c>
      <c r="H47" s="72">
        <f t="shared" si="0"/>
        <v>0</v>
      </c>
    </row>
    <row r="48" spans="1:8" x14ac:dyDescent="0.25">
      <c r="A48" s="141" t="s">
        <v>1643</v>
      </c>
      <c r="B48" s="80">
        <v>639</v>
      </c>
      <c r="C48" s="80">
        <v>416</v>
      </c>
      <c r="D48" s="80">
        <v>47321</v>
      </c>
      <c r="E48" s="167">
        <v>7358</v>
      </c>
      <c r="F48" s="73">
        <v>4.5</v>
      </c>
      <c r="G48">
        <v>118</v>
      </c>
      <c r="H48" s="72">
        <f t="shared" si="0"/>
        <v>0.28365384615384615</v>
      </c>
    </row>
    <row r="49" spans="1:8" x14ac:dyDescent="0.25">
      <c r="A49" s="141" t="s">
        <v>1765</v>
      </c>
      <c r="B49" s="80">
        <v>991</v>
      </c>
      <c r="C49" s="80">
        <v>598</v>
      </c>
      <c r="D49" s="80">
        <v>34531</v>
      </c>
      <c r="E49" s="167">
        <v>9399</v>
      </c>
      <c r="F49" s="73">
        <v>0</v>
      </c>
      <c r="G49">
        <v>249</v>
      </c>
      <c r="H49" s="72">
        <f t="shared" si="0"/>
        <v>0.41638795986622074</v>
      </c>
    </row>
    <row r="50" spans="1:8" x14ac:dyDescent="0.25">
      <c r="A50" s="141" t="s">
        <v>1873</v>
      </c>
      <c r="B50" s="80">
        <v>8326</v>
      </c>
      <c r="C50" s="80">
        <v>3650</v>
      </c>
      <c r="D50" s="80">
        <v>69725</v>
      </c>
      <c r="E50" s="167">
        <v>11305</v>
      </c>
      <c r="F50" s="73">
        <v>1.7</v>
      </c>
      <c r="G50">
        <v>1182</v>
      </c>
      <c r="H50" s="72">
        <f t="shared" si="0"/>
        <v>0.32383561643835618</v>
      </c>
    </row>
    <row r="51" spans="1:8" x14ac:dyDescent="0.25">
      <c r="A51" s="141" t="s">
        <v>1521</v>
      </c>
      <c r="B51" s="80">
        <v>3758</v>
      </c>
      <c r="C51" s="80">
        <v>976</v>
      </c>
      <c r="D51" s="80">
        <v>87986</v>
      </c>
      <c r="E51" s="167">
        <v>19375</v>
      </c>
      <c r="F51" s="73">
        <v>2.4</v>
      </c>
      <c r="G51">
        <v>161</v>
      </c>
      <c r="H51" s="72">
        <f t="shared" si="0"/>
        <v>0.16495901639344263</v>
      </c>
    </row>
    <row r="52" spans="1:8" x14ac:dyDescent="0.25">
      <c r="A52" s="141" t="s">
        <v>1923</v>
      </c>
      <c r="B52" s="80">
        <v>195</v>
      </c>
      <c r="C52" s="80">
        <v>115</v>
      </c>
      <c r="D52" s="80">
        <v>56250</v>
      </c>
      <c r="E52" s="167">
        <v>23206</v>
      </c>
      <c r="F52" s="73">
        <v>5.5</v>
      </c>
      <c r="G52">
        <v>38</v>
      </c>
      <c r="H52" s="72">
        <f t="shared" si="0"/>
        <v>0.33043478260869563</v>
      </c>
    </row>
    <row r="53" spans="1:8" x14ac:dyDescent="0.25">
      <c r="A53" s="141" t="s">
        <v>60</v>
      </c>
      <c r="B53" s="80">
        <v>62</v>
      </c>
      <c r="C53" s="80">
        <v>24</v>
      </c>
      <c r="D53" s="80">
        <v>33750</v>
      </c>
      <c r="E53" s="167">
        <v>17007</v>
      </c>
      <c r="F53" s="73">
        <v>6.7</v>
      </c>
      <c r="G53">
        <v>1</v>
      </c>
      <c r="H53" s="72">
        <f t="shared" si="0"/>
        <v>4.1666666666666664E-2</v>
      </c>
    </row>
    <row r="54" spans="1:8" x14ac:dyDescent="0.25">
      <c r="A54" s="141" t="s">
        <v>1792</v>
      </c>
      <c r="B54" s="80">
        <v>64</v>
      </c>
      <c r="C54" s="80">
        <v>110</v>
      </c>
      <c r="D54" s="80">
        <v>65313</v>
      </c>
      <c r="E54" s="167">
        <v>12126</v>
      </c>
      <c r="F54" s="73">
        <v>3.6</v>
      </c>
      <c r="G54">
        <v>6</v>
      </c>
      <c r="H54" s="72">
        <f t="shared" si="0"/>
        <v>5.4545454545454543E-2</v>
      </c>
    </row>
    <row r="55" spans="1:8" x14ac:dyDescent="0.25">
      <c r="A55" s="141" t="s">
        <v>1666</v>
      </c>
      <c r="B55" s="80">
        <v>341</v>
      </c>
      <c r="C55" s="80">
        <v>151</v>
      </c>
      <c r="D55" s="80">
        <v>67778</v>
      </c>
      <c r="E55" s="167">
        <v>8553</v>
      </c>
      <c r="F55" s="73">
        <v>0</v>
      </c>
      <c r="G55">
        <v>31</v>
      </c>
      <c r="H55" s="72">
        <f t="shared" si="0"/>
        <v>0.20529801324503311</v>
      </c>
    </row>
    <row r="56" spans="1:8" x14ac:dyDescent="0.25">
      <c r="A56" s="141" t="s">
        <v>1828</v>
      </c>
      <c r="B56" s="80">
        <v>4919</v>
      </c>
      <c r="C56" s="80">
        <v>1877</v>
      </c>
      <c r="D56" s="80">
        <v>75625</v>
      </c>
      <c r="E56" s="167">
        <v>14630</v>
      </c>
      <c r="F56" s="73">
        <v>1.2</v>
      </c>
      <c r="G56">
        <v>296</v>
      </c>
      <c r="H56" s="72">
        <f t="shared" si="0"/>
        <v>0.15769845498135324</v>
      </c>
    </row>
    <row r="57" spans="1:8" x14ac:dyDescent="0.25">
      <c r="A57" s="141" t="s">
        <v>1872</v>
      </c>
      <c r="B57" s="80">
        <v>79</v>
      </c>
      <c r="C57" s="80">
        <v>44</v>
      </c>
      <c r="D57" s="80">
        <v>36429</v>
      </c>
      <c r="E57" s="167">
        <v>14547</v>
      </c>
      <c r="F57" s="73">
        <v>0</v>
      </c>
      <c r="G57">
        <v>23</v>
      </c>
      <c r="H57" s="72">
        <f t="shared" si="0"/>
        <v>0.52272727272727271</v>
      </c>
    </row>
    <row r="58" spans="1:8" x14ac:dyDescent="0.25">
      <c r="A58" s="141" t="s">
        <v>1890</v>
      </c>
      <c r="B58" s="80">
        <v>1027</v>
      </c>
      <c r="C58" s="80">
        <v>408</v>
      </c>
      <c r="D58" s="80">
        <v>52955</v>
      </c>
      <c r="E58" s="167">
        <v>9329</v>
      </c>
      <c r="F58" s="73">
        <v>3.2</v>
      </c>
      <c r="G58">
        <v>207</v>
      </c>
      <c r="H58" s="72">
        <f t="shared" si="0"/>
        <v>0.50735294117647056</v>
      </c>
    </row>
    <row r="59" spans="1:8" x14ac:dyDescent="0.25">
      <c r="A59" s="141" t="s">
        <v>1692</v>
      </c>
      <c r="B59" s="80">
        <v>154</v>
      </c>
      <c r="C59" s="80">
        <v>99</v>
      </c>
      <c r="D59" s="80">
        <v>37500</v>
      </c>
      <c r="E59" s="167">
        <v>17705</v>
      </c>
      <c r="F59" s="73">
        <v>15.6</v>
      </c>
      <c r="G59">
        <v>58</v>
      </c>
      <c r="H59" s="72">
        <f t="shared" si="0"/>
        <v>0.58585858585858586</v>
      </c>
    </row>
    <row r="60" spans="1:8" x14ac:dyDescent="0.25">
      <c r="A60" s="141" t="s">
        <v>1853</v>
      </c>
      <c r="B60" s="80">
        <v>7137</v>
      </c>
      <c r="C60" s="80">
        <v>2343</v>
      </c>
      <c r="D60" s="80">
        <v>86422</v>
      </c>
      <c r="E60" s="167">
        <v>7704</v>
      </c>
      <c r="F60" s="73">
        <v>0.8</v>
      </c>
      <c r="G60">
        <v>472</v>
      </c>
      <c r="H60" s="72">
        <f t="shared" si="0"/>
        <v>0.20145113102859583</v>
      </c>
    </row>
    <row r="61" spans="1:8" x14ac:dyDescent="0.25">
      <c r="A61" s="141" t="s">
        <v>1513</v>
      </c>
      <c r="B61" s="80">
        <v>266</v>
      </c>
      <c r="C61" s="80">
        <v>136</v>
      </c>
      <c r="D61" s="80">
        <v>50313</v>
      </c>
      <c r="E61" s="167">
        <v>24563</v>
      </c>
      <c r="F61" s="73">
        <v>0</v>
      </c>
      <c r="G61">
        <v>62</v>
      </c>
      <c r="H61" s="72">
        <f t="shared" si="0"/>
        <v>0.45588235294117646</v>
      </c>
    </row>
    <row r="62" spans="1:8" x14ac:dyDescent="0.25">
      <c r="A62" s="141" t="s">
        <v>1715</v>
      </c>
      <c r="B62" s="80">
        <v>96</v>
      </c>
      <c r="C62" s="80">
        <v>56</v>
      </c>
      <c r="D62" s="80"/>
      <c r="E62" s="167" t="s">
        <v>0</v>
      </c>
      <c r="F62" s="73">
        <v>12.9</v>
      </c>
      <c r="G62">
        <v>22</v>
      </c>
      <c r="H62" s="72">
        <f t="shared" si="0"/>
        <v>0.39285714285714285</v>
      </c>
    </row>
    <row r="63" spans="1:8" x14ac:dyDescent="0.25">
      <c r="A63" s="141" t="s">
        <v>1527</v>
      </c>
      <c r="B63" s="80">
        <v>366</v>
      </c>
      <c r="C63" s="80">
        <v>168</v>
      </c>
      <c r="D63" s="80">
        <v>49063</v>
      </c>
      <c r="E63" s="167">
        <v>18490</v>
      </c>
      <c r="F63" s="73">
        <v>2</v>
      </c>
      <c r="G63">
        <v>115</v>
      </c>
      <c r="H63" s="72">
        <f t="shared" si="0"/>
        <v>0.68452380952380953</v>
      </c>
    </row>
    <row r="64" spans="1:8" x14ac:dyDescent="0.25">
      <c r="A64" s="141" t="s">
        <v>1756</v>
      </c>
      <c r="B64" s="80">
        <v>15277</v>
      </c>
      <c r="C64" s="80">
        <v>6714</v>
      </c>
      <c r="D64" s="80">
        <v>36250</v>
      </c>
      <c r="E64" s="167">
        <v>3392</v>
      </c>
      <c r="F64" s="73">
        <v>4.9000000000000004</v>
      </c>
      <c r="G64">
        <v>5030</v>
      </c>
      <c r="H64" s="72">
        <f t="shared" si="0"/>
        <v>0.74918081620494492</v>
      </c>
    </row>
    <row r="65" spans="1:8" x14ac:dyDescent="0.25">
      <c r="A65" s="141" t="s">
        <v>2245</v>
      </c>
      <c r="B65" s="80">
        <v>116</v>
      </c>
      <c r="C65" s="80">
        <v>52</v>
      </c>
      <c r="D65" s="80">
        <v>15000</v>
      </c>
      <c r="E65" s="167">
        <v>13314</v>
      </c>
      <c r="F65" s="73">
        <v>19.5</v>
      </c>
      <c r="G65">
        <v>86</v>
      </c>
      <c r="H65" s="72">
        <f t="shared" si="0"/>
        <v>1.6538461538461537</v>
      </c>
    </row>
    <row r="66" spans="1:8" x14ac:dyDescent="0.25">
      <c r="A66" s="141" t="s">
        <v>1003</v>
      </c>
      <c r="B66" s="80">
        <v>3063</v>
      </c>
      <c r="C66" s="80">
        <v>1558</v>
      </c>
      <c r="D66" s="80">
        <v>44167</v>
      </c>
      <c r="E66" s="167">
        <v>3447</v>
      </c>
      <c r="F66" s="73">
        <v>1.8</v>
      </c>
      <c r="G66">
        <v>788</v>
      </c>
      <c r="H66" s="72">
        <f t="shared" ref="H66:H129" si="1">G66/C66</f>
        <v>0.50577663671373552</v>
      </c>
    </row>
    <row r="67" spans="1:8" x14ac:dyDescent="0.25">
      <c r="A67" s="141" t="s">
        <v>1893</v>
      </c>
      <c r="B67" s="80">
        <v>569</v>
      </c>
      <c r="C67" s="80">
        <v>241</v>
      </c>
      <c r="D67" s="80">
        <v>51346</v>
      </c>
      <c r="E67" s="167">
        <v>13099</v>
      </c>
      <c r="F67" s="73">
        <v>6.3</v>
      </c>
      <c r="G67">
        <v>122</v>
      </c>
      <c r="H67" s="72">
        <f t="shared" si="1"/>
        <v>0.50622406639004147</v>
      </c>
    </row>
    <row r="68" spans="1:8" x14ac:dyDescent="0.25">
      <c r="A68" s="141" t="s">
        <v>2246</v>
      </c>
      <c r="B68" s="80">
        <v>443</v>
      </c>
      <c r="C68" s="80">
        <v>151</v>
      </c>
      <c r="D68" s="80">
        <v>91250</v>
      </c>
      <c r="E68" s="167">
        <v>16937</v>
      </c>
      <c r="F68" s="73">
        <v>4.2</v>
      </c>
      <c r="G68">
        <v>25</v>
      </c>
      <c r="H68" s="72">
        <f t="shared" si="1"/>
        <v>0.16556291390728478</v>
      </c>
    </row>
    <row r="69" spans="1:8" x14ac:dyDescent="0.25">
      <c r="A69" s="141" t="s">
        <v>1962</v>
      </c>
      <c r="B69" s="80">
        <v>280</v>
      </c>
      <c r="C69" s="80">
        <v>101</v>
      </c>
      <c r="D69" s="80">
        <v>74375</v>
      </c>
      <c r="E69" s="167">
        <v>44725</v>
      </c>
      <c r="F69" s="73">
        <v>10.3</v>
      </c>
      <c r="G69">
        <v>42</v>
      </c>
      <c r="H69" s="72">
        <f t="shared" si="1"/>
        <v>0.41584158415841582</v>
      </c>
    </row>
    <row r="70" spans="1:8" x14ac:dyDescent="0.25">
      <c r="A70" s="141" t="s">
        <v>1763</v>
      </c>
      <c r="B70" s="80">
        <v>204</v>
      </c>
      <c r="C70" s="80">
        <v>192</v>
      </c>
      <c r="D70" s="80">
        <v>30357</v>
      </c>
      <c r="E70" s="167">
        <v>5249</v>
      </c>
      <c r="F70" s="73">
        <v>9.1</v>
      </c>
      <c r="G70">
        <v>60</v>
      </c>
      <c r="H70" s="72">
        <f t="shared" si="1"/>
        <v>0.3125</v>
      </c>
    </row>
    <row r="71" spans="1:8" x14ac:dyDescent="0.25">
      <c r="A71" s="141" t="s">
        <v>1784</v>
      </c>
      <c r="B71" s="80">
        <v>420</v>
      </c>
      <c r="C71" s="80">
        <v>237</v>
      </c>
      <c r="D71" s="80">
        <v>34625</v>
      </c>
      <c r="E71" s="167">
        <v>6111</v>
      </c>
      <c r="F71" s="73">
        <v>7.7</v>
      </c>
      <c r="G71">
        <v>123</v>
      </c>
      <c r="H71" s="72">
        <f t="shared" si="1"/>
        <v>0.51898734177215189</v>
      </c>
    </row>
    <row r="72" spans="1:8" x14ac:dyDescent="0.25">
      <c r="A72" s="141" t="s">
        <v>59</v>
      </c>
      <c r="B72" s="80">
        <v>347</v>
      </c>
      <c r="C72" s="80">
        <v>259</v>
      </c>
      <c r="D72" s="80">
        <v>78438</v>
      </c>
      <c r="E72" s="167">
        <v>25831</v>
      </c>
      <c r="F72" s="73">
        <v>2</v>
      </c>
      <c r="G72">
        <v>63</v>
      </c>
      <c r="H72" s="72">
        <f t="shared" si="1"/>
        <v>0.24324324324324326</v>
      </c>
    </row>
    <row r="73" spans="1:8" x14ac:dyDescent="0.25">
      <c r="A73" s="141" t="s">
        <v>1728</v>
      </c>
      <c r="B73" s="80">
        <v>11085</v>
      </c>
      <c r="C73" s="80">
        <v>3700</v>
      </c>
      <c r="D73" s="80">
        <v>88569</v>
      </c>
      <c r="E73" s="167">
        <v>6745</v>
      </c>
      <c r="F73" s="73">
        <v>0.9</v>
      </c>
      <c r="G73">
        <v>1082</v>
      </c>
      <c r="H73" s="72">
        <f t="shared" si="1"/>
        <v>0.29243243243243244</v>
      </c>
    </row>
    <row r="74" spans="1:8" x14ac:dyDescent="0.25">
      <c r="A74" s="141" t="s">
        <v>2032</v>
      </c>
      <c r="B74" s="80">
        <v>132</v>
      </c>
      <c r="C74" s="80">
        <v>61</v>
      </c>
      <c r="D74" s="80">
        <v>76500</v>
      </c>
      <c r="E74" s="167">
        <v>24256</v>
      </c>
      <c r="F74" s="73">
        <v>10.1</v>
      </c>
      <c r="G74">
        <v>26</v>
      </c>
      <c r="H74" s="72">
        <f t="shared" si="1"/>
        <v>0.42622950819672129</v>
      </c>
    </row>
    <row r="75" spans="1:8" x14ac:dyDescent="0.25">
      <c r="A75" s="141" t="s">
        <v>2400</v>
      </c>
      <c r="B75" s="80">
        <v>1067</v>
      </c>
      <c r="C75" s="80">
        <v>437</v>
      </c>
      <c r="D75" s="80">
        <v>121875</v>
      </c>
      <c r="E75" s="167">
        <v>22098</v>
      </c>
      <c r="F75" s="73">
        <v>2.5</v>
      </c>
      <c r="G75">
        <v>77</v>
      </c>
      <c r="H75" s="72">
        <f t="shared" si="1"/>
        <v>0.17620137299771166</v>
      </c>
    </row>
    <row r="76" spans="1:8" x14ac:dyDescent="0.25">
      <c r="A76" s="141" t="s">
        <v>1895</v>
      </c>
      <c r="B76" s="80">
        <v>905</v>
      </c>
      <c r="C76" s="80">
        <v>514</v>
      </c>
      <c r="D76" s="80">
        <v>59722</v>
      </c>
      <c r="E76" s="167">
        <v>5094</v>
      </c>
      <c r="F76" s="73">
        <v>3</v>
      </c>
      <c r="G76">
        <v>125</v>
      </c>
      <c r="H76" s="72">
        <f t="shared" si="1"/>
        <v>0.24319066147859922</v>
      </c>
    </row>
    <row r="77" spans="1:8" x14ac:dyDescent="0.25">
      <c r="A77" s="141" t="s">
        <v>1909</v>
      </c>
      <c r="B77" s="80">
        <v>213</v>
      </c>
      <c r="C77" s="80">
        <v>84</v>
      </c>
      <c r="D77" s="80">
        <v>96250</v>
      </c>
      <c r="E77" s="167">
        <v>90076</v>
      </c>
      <c r="F77" s="73">
        <v>1.5</v>
      </c>
      <c r="G77">
        <v>14</v>
      </c>
      <c r="H77" s="72">
        <f t="shared" si="1"/>
        <v>0.16666666666666666</v>
      </c>
    </row>
    <row r="78" spans="1:8" x14ac:dyDescent="0.25">
      <c r="A78" s="141" t="s">
        <v>1800</v>
      </c>
      <c r="B78" s="80">
        <v>643</v>
      </c>
      <c r="C78" s="80">
        <v>476</v>
      </c>
      <c r="D78" s="80">
        <v>47407</v>
      </c>
      <c r="E78" s="167">
        <v>14138</v>
      </c>
      <c r="F78" s="73">
        <v>3.5</v>
      </c>
      <c r="G78">
        <v>143</v>
      </c>
      <c r="H78" s="72">
        <f t="shared" si="1"/>
        <v>0.30042016806722688</v>
      </c>
    </row>
    <row r="79" spans="1:8" x14ac:dyDescent="0.25">
      <c r="A79" s="141" t="s">
        <v>1645</v>
      </c>
      <c r="B79" s="80">
        <v>813</v>
      </c>
      <c r="C79" s="80">
        <v>354</v>
      </c>
      <c r="D79" s="80">
        <v>34423</v>
      </c>
      <c r="E79" s="167">
        <v>5334</v>
      </c>
      <c r="F79" s="73">
        <v>5.2</v>
      </c>
      <c r="G79">
        <v>252</v>
      </c>
      <c r="H79" s="72">
        <f t="shared" si="1"/>
        <v>0.71186440677966101</v>
      </c>
    </row>
    <row r="80" spans="1:8" x14ac:dyDescent="0.25">
      <c r="A80" s="141" t="s">
        <v>1651</v>
      </c>
      <c r="B80" s="80">
        <v>65048</v>
      </c>
      <c r="C80" s="80">
        <v>24091</v>
      </c>
      <c r="D80" s="80">
        <v>86796</v>
      </c>
      <c r="E80" s="167">
        <v>2568</v>
      </c>
      <c r="F80" s="73">
        <v>3.8</v>
      </c>
      <c r="G80">
        <v>7202</v>
      </c>
      <c r="H80" s="72">
        <f t="shared" si="1"/>
        <v>0.29894981528371589</v>
      </c>
    </row>
    <row r="81" spans="1:8" x14ac:dyDescent="0.25">
      <c r="A81" s="141" t="s">
        <v>1901</v>
      </c>
      <c r="B81" s="80">
        <v>199</v>
      </c>
      <c r="C81" s="80">
        <v>112</v>
      </c>
      <c r="D81" s="80">
        <v>54167</v>
      </c>
      <c r="E81" s="167">
        <v>21040</v>
      </c>
      <c r="F81" s="73">
        <v>0</v>
      </c>
      <c r="G81">
        <v>15</v>
      </c>
      <c r="H81" s="72">
        <f t="shared" si="1"/>
        <v>0.13392857142857142</v>
      </c>
    </row>
    <row r="82" spans="1:8" x14ac:dyDescent="0.25">
      <c r="A82" s="141" t="s">
        <v>1005</v>
      </c>
      <c r="B82" s="80">
        <v>1939</v>
      </c>
      <c r="C82" s="80">
        <v>877</v>
      </c>
      <c r="D82" s="80">
        <v>57535</v>
      </c>
      <c r="E82" s="167">
        <v>7058</v>
      </c>
      <c r="F82" s="73">
        <v>4</v>
      </c>
      <c r="G82">
        <v>455</v>
      </c>
      <c r="H82" s="72">
        <f t="shared" si="1"/>
        <v>0.51881413911060437</v>
      </c>
    </row>
    <row r="83" spans="1:8" x14ac:dyDescent="0.25">
      <c r="A83" s="141" t="s">
        <v>1453</v>
      </c>
      <c r="B83" s="80">
        <v>85226</v>
      </c>
      <c r="C83" s="80">
        <v>36521</v>
      </c>
      <c r="D83" s="80">
        <v>78224</v>
      </c>
      <c r="E83" s="167">
        <v>2052</v>
      </c>
      <c r="F83" s="73">
        <v>4</v>
      </c>
      <c r="G83">
        <v>9964</v>
      </c>
      <c r="H83" s="72">
        <f t="shared" si="1"/>
        <v>0.27282933106979546</v>
      </c>
    </row>
    <row r="84" spans="1:8" x14ac:dyDescent="0.25">
      <c r="A84" s="141" t="s">
        <v>1007</v>
      </c>
      <c r="B84" s="80">
        <v>3128</v>
      </c>
      <c r="C84" s="80">
        <v>1617</v>
      </c>
      <c r="D84" s="80">
        <v>50000</v>
      </c>
      <c r="E84" s="167">
        <v>4946</v>
      </c>
      <c r="F84" s="73">
        <v>3.9</v>
      </c>
      <c r="G84">
        <v>601</v>
      </c>
      <c r="H84" s="72">
        <f t="shared" si="1"/>
        <v>0.37167594310451452</v>
      </c>
    </row>
    <row r="85" spans="1:8" x14ac:dyDescent="0.25">
      <c r="A85" s="141" t="s">
        <v>2247</v>
      </c>
      <c r="B85" s="80">
        <v>218</v>
      </c>
      <c r="C85" s="80">
        <v>94</v>
      </c>
      <c r="D85" s="80">
        <v>46250</v>
      </c>
      <c r="E85" s="167">
        <v>19093</v>
      </c>
      <c r="F85" s="73">
        <v>0</v>
      </c>
      <c r="G85">
        <v>80</v>
      </c>
      <c r="H85" s="72">
        <f t="shared" si="1"/>
        <v>0.85106382978723405</v>
      </c>
    </row>
    <row r="86" spans="1:8" x14ac:dyDescent="0.25">
      <c r="A86" s="141" t="s">
        <v>1772</v>
      </c>
      <c r="B86" s="80">
        <v>90</v>
      </c>
      <c r="C86" s="80">
        <v>45</v>
      </c>
      <c r="D86" s="80">
        <v>46250</v>
      </c>
      <c r="E86" s="167">
        <v>24068</v>
      </c>
      <c r="F86" s="73">
        <v>25</v>
      </c>
      <c r="G86">
        <v>47</v>
      </c>
      <c r="H86" s="72">
        <f t="shared" si="1"/>
        <v>1.0444444444444445</v>
      </c>
    </row>
    <row r="87" spans="1:8" x14ac:dyDescent="0.25">
      <c r="A87" s="141" t="s">
        <v>1491</v>
      </c>
      <c r="B87" s="80">
        <v>96</v>
      </c>
      <c r="C87" s="80">
        <v>36</v>
      </c>
      <c r="D87" s="80">
        <v>50000</v>
      </c>
      <c r="E87" s="167">
        <v>16141</v>
      </c>
      <c r="F87" s="73">
        <v>2.8</v>
      </c>
      <c r="G87">
        <v>45</v>
      </c>
      <c r="H87" s="72">
        <f t="shared" si="1"/>
        <v>1.25</v>
      </c>
    </row>
    <row r="88" spans="1:8" x14ac:dyDescent="0.25">
      <c r="A88" s="141" t="s">
        <v>1785</v>
      </c>
      <c r="B88" s="80">
        <v>726</v>
      </c>
      <c r="C88" s="80">
        <v>348</v>
      </c>
      <c r="D88" s="80">
        <v>53011</v>
      </c>
      <c r="E88" s="167">
        <v>10075</v>
      </c>
      <c r="F88" s="73">
        <v>7.5</v>
      </c>
      <c r="G88">
        <v>200</v>
      </c>
      <c r="H88" s="72">
        <f t="shared" si="1"/>
        <v>0.57471264367816088</v>
      </c>
    </row>
    <row r="89" spans="1:8" x14ac:dyDescent="0.25">
      <c r="A89" s="141" t="s">
        <v>1826</v>
      </c>
      <c r="B89" s="80">
        <v>288</v>
      </c>
      <c r="C89" s="80">
        <v>128</v>
      </c>
      <c r="D89" s="80">
        <v>57188</v>
      </c>
      <c r="E89" s="167">
        <v>9648</v>
      </c>
      <c r="F89" s="73">
        <v>12.6</v>
      </c>
      <c r="G89">
        <v>51</v>
      </c>
      <c r="H89" s="72">
        <f t="shared" si="1"/>
        <v>0.3984375</v>
      </c>
    </row>
    <row r="90" spans="1:8" x14ac:dyDescent="0.25">
      <c r="A90" s="141" t="s">
        <v>2015</v>
      </c>
      <c r="B90" s="80">
        <v>149</v>
      </c>
      <c r="C90" s="80">
        <v>110</v>
      </c>
      <c r="D90" s="80">
        <v>50833</v>
      </c>
      <c r="E90" s="167">
        <v>10677</v>
      </c>
      <c r="F90" s="73">
        <v>10.3</v>
      </c>
      <c r="G90">
        <v>62</v>
      </c>
      <c r="H90" s="72">
        <f t="shared" si="1"/>
        <v>0.5636363636363636</v>
      </c>
    </row>
    <row r="91" spans="1:8" x14ac:dyDescent="0.25">
      <c r="A91" s="141" t="s">
        <v>2248</v>
      </c>
      <c r="B91" s="80">
        <v>32</v>
      </c>
      <c r="C91" s="80">
        <v>30</v>
      </c>
      <c r="D91" s="80"/>
      <c r="E91" s="167" t="s">
        <v>0</v>
      </c>
      <c r="F91" s="73">
        <v>33.299999999999997</v>
      </c>
      <c r="G91">
        <v>22</v>
      </c>
      <c r="H91" s="72">
        <f t="shared" si="1"/>
        <v>0.73333333333333328</v>
      </c>
    </row>
    <row r="92" spans="1:8" x14ac:dyDescent="0.25">
      <c r="A92" s="141" t="s">
        <v>1009</v>
      </c>
      <c r="B92" s="80">
        <v>1721</v>
      </c>
      <c r="C92" s="80">
        <v>792</v>
      </c>
      <c r="D92" s="80">
        <v>46786</v>
      </c>
      <c r="E92" s="167">
        <v>9351</v>
      </c>
      <c r="F92" s="73">
        <v>5.9</v>
      </c>
      <c r="G92">
        <v>584</v>
      </c>
      <c r="H92" s="72">
        <f t="shared" si="1"/>
        <v>0.73737373737373735</v>
      </c>
    </row>
    <row r="93" spans="1:8" x14ac:dyDescent="0.25">
      <c r="A93" s="141" t="s">
        <v>1815</v>
      </c>
      <c r="B93" s="80">
        <v>13423</v>
      </c>
      <c r="C93" s="80">
        <v>6397</v>
      </c>
      <c r="D93" s="80">
        <v>36699</v>
      </c>
      <c r="E93" s="167">
        <v>4712</v>
      </c>
      <c r="F93" s="73">
        <v>5.0999999999999996</v>
      </c>
      <c r="G93">
        <v>4215</v>
      </c>
      <c r="H93" s="72">
        <f t="shared" si="1"/>
        <v>0.65890261059871813</v>
      </c>
    </row>
    <row r="94" spans="1:8" x14ac:dyDescent="0.25">
      <c r="A94" s="141" t="s">
        <v>1487</v>
      </c>
      <c r="B94" s="80">
        <v>674</v>
      </c>
      <c r="C94" s="80">
        <v>278</v>
      </c>
      <c r="D94" s="80">
        <v>44821</v>
      </c>
      <c r="E94" s="167">
        <v>21111</v>
      </c>
      <c r="F94" s="73">
        <v>7.3</v>
      </c>
      <c r="G94">
        <v>111</v>
      </c>
      <c r="H94" s="72">
        <f t="shared" si="1"/>
        <v>0.39928057553956836</v>
      </c>
    </row>
    <row r="95" spans="1:8" x14ac:dyDescent="0.25">
      <c r="A95" s="141" t="s">
        <v>1929</v>
      </c>
      <c r="B95" s="80">
        <v>3198</v>
      </c>
      <c r="C95" s="80">
        <v>1702</v>
      </c>
      <c r="D95" s="80">
        <v>42625</v>
      </c>
      <c r="E95" s="167">
        <v>6616</v>
      </c>
      <c r="F95" s="73">
        <v>7.4</v>
      </c>
      <c r="G95">
        <v>639</v>
      </c>
      <c r="H95" s="72">
        <f t="shared" si="1"/>
        <v>0.37544065804935373</v>
      </c>
    </row>
    <row r="96" spans="1:8" x14ac:dyDescent="0.25">
      <c r="A96" s="141" t="s">
        <v>2249</v>
      </c>
      <c r="B96" s="80">
        <v>2396</v>
      </c>
      <c r="C96" s="80">
        <v>1834</v>
      </c>
      <c r="D96" s="80">
        <v>71845</v>
      </c>
      <c r="E96" s="167">
        <v>4595</v>
      </c>
      <c r="F96" s="73">
        <v>3.5</v>
      </c>
      <c r="G96">
        <v>319</v>
      </c>
      <c r="H96" s="72">
        <f t="shared" si="1"/>
        <v>0.17393675027262814</v>
      </c>
    </row>
    <row r="97" spans="1:8" x14ac:dyDescent="0.25">
      <c r="A97" s="141" t="s">
        <v>1011</v>
      </c>
      <c r="B97" s="80">
        <v>550</v>
      </c>
      <c r="C97" s="80">
        <v>174</v>
      </c>
      <c r="D97" s="80">
        <v>56875</v>
      </c>
      <c r="E97" s="167">
        <v>20401</v>
      </c>
      <c r="F97" s="73">
        <v>7.6</v>
      </c>
      <c r="G97">
        <v>214</v>
      </c>
      <c r="H97" s="72">
        <f t="shared" si="1"/>
        <v>1.2298850574712643</v>
      </c>
    </row>
    <row r="98" spans="1:8" x14ac:dyDescent="0.25">
      <c r="A98" s="141" t="s">
        <v>1589</v>
      </c>
      <c r="B98" s="80">
        <v>292</v>
      </c>
      <c r="C98" s="80">
        <v>180</v>
      </c>
      <c r="D98" s="80">
        <v>36964</v>
      </c>
      <c r="E98" s="167">
        <v>10389</v>
      </c>
      <c r="F98" s="73">
        <v>2.2000000000000002</v>
      </c>
      <c r="G98">
        <v>89</v>
      </c>
      <c r="H98" s="72">
        <f t="shared" si="1"/>
        <v>0.49444444444444446</v>
      </c>
    </row>
    <row r="99" spans="1:8" x14ac:dyDescent="0.25">
      <c r="A99" s="141" t="s">
        <v>1777</v>
      </c>
      <c r="B99" s="80">
        <v>30755</v>
      </c>
      <c r="C99" s="80">
        <v>10889</v>
      </c>
      <c r="D99" s="80">
        <v>64023</v>
      </c>
      <c r="E99" s="167">
        <v>6414</v>
      </c>
      <c r="F99" s="73">
        <v>6.2</v>
      </c>
      <c r="G99">
        <v>7093</v>
      </c>
      <c r="H99" s="72">
        <f t="shared" si="1"/>
        <v>0.65139131233354763</v>
      </c>
    </row>
    <row r="100" spans="1:8" x14ac:dyDescent="0.25">
      <c r="A100" s="141" t="s">
        <v>1454</v>
      </c>
      <c r="B100" s="80">
        <v>80173</v>
      </c>
      <c r="C100" s="80">
        <v>28953</v>
      </c>
      <c r="D100" s="80">
        <v>73207</v>
      </c>
      <c r="E100" s="167">
        <v>2608</v>
      </c>
      <c r="F100" s="73">
        <v>3.8</v>
      </c>
      <c r="G100">
        <v>13980</v>
      </c>
      <c r="H100" s="72">
        <f t="shared" si="1"/>
        <v>0.48285151797741166</v>
      </c>
    </row>
    <row r="101" spans="1:8" x14ac:dyDescent="0.25">
      <c r="A101" s="141" t="s">
        <v>1827</v>
      </c>
      <c r="B101" s="80">
        <v>123</v>
      </c>
      <c r="C101" s="80">
        <v>45</v>
      </c>
      <c r="D101" s="80">
        <v>44375</v>
      </c>
      <c r="E101" s="167">
        <v>24852</v>
      </c>
      <c r="F101" s="73">
        <v>5.2</v>
      </c>
      <c r="G101">
        <v>23</v>
      </c>
      <c r="H101" s="72">
        <f t="shared" si="1"/>
        <v>0.51111111111111107</v>
      </c>
    </row>
    <row r="102" spans="1:8" x14ac:dyDescent="0.25">
      <c r="A102" s="141" t="s">
        <v>2250</v>
      </c>
      <c r="B102" s="80">
        <v>151</v>
      </c>
      <c r="C102" s="80">
        <v>74</v>
      </c>
      <c r="D102" s="80"/>
      <c r="E102" s="167" t="s">
        <v>0</v>
      </c>
      <c r="F102" s="73">
        <v>7.5</v>
      </c>
      <c r="G102">
        <v>22</v>
      </c>
      <c r="H102" s="72">
        <f t="shared" si="1"/>
        <v>0.29729729729729731</v>
      </c>
    </row>
    <row r="103" spans="1:8" x14ac:dyDescent="0.25">
      <c r="A103" s="141" t="s">
        <v>2251</v>
      </c>
      <c r="B103" s="80">
        <v>117</v>
      </c>
      <c r="C103" s="80">
        <v>48</v>
      </c>
      <c r="D103" s="80">
        <v>68750</v>
      </c>
      <c r="E103" s="167">
        <v>41129</v>
      </c>
      <c r="F103" s="73">
        <v>8.1999999999999993</v>
      </c>
      <c r="G103">
        <v>13</v>
      </c>
      <c r="H103" s="72">
        <f t="shared" si="1"/>
        <v>0.27083333333333331</v>
      </c>
    </row>
    <row r="104" spans="1:8" x14ac:dyDescent="0.25">
      <c r="A104" s="141" t="s">
        <v>1670</v>
      </c>
      <c r="B104" s="80">
        <v>598</v>
      </c>
      <c r="C104" s="80">
        <v>292</v>
      </c>
      <c r="D104" s="80">
        <v>43125</v>
      </c>
      <c r="E104" s="167">
        <v>6443</v>
      </c>
      <c r="F104" s="73">
        <v>2.1</v>
      </c>
      <c r="G104">
        <v>161</v>
      </c>
      <c r="H104" s="72">
        <f t="shared" si="1"/>
        <v>0.55136986301369861</v>
      </c>
    </row>
    <row r="105" spans="1:8" x14ac:dyDescent="0.25">
      <c r="A105" s="141" t="s">
        <v>1597</v>
      </c>
      <c r="B105" s="80">
        <v>914</v>
      </c>
      <c r="C105" s="80">
        <v>394</v>
      </c>
      <c r="D105" s="80">
        <v>50213</v>
      </c>
      <c r="E105" s="167">
        <v>9272</v>
      </c>
      <c r="F105" s="73">
        <v>7.2</v>
      </c>
      <c r="G105">
        <v>322</v>
      </c>
      <c r="H105" s="72">
        <f t="shared" si="1"/>
        <v>0.81725888324873097</v>
      </c>
    </row>
    <row r="106" spans="1:8" x14ac:dyDescent="0.25">
      <c r="A106" s="141" t="s">
        <v>1554</v>
      </c>
      <c r="B106" s="80">
        <v>683</v>
      </c>
      <c r="C106" s="80">
        <v>331</v>
      </c>
      <c r="D106" s="80">
        <v>54669</v>
      </c>
      <c r="E106" s="167">
        <v>7817</v>
      </c>
      <c r="F106" s="73">
        <v>2.9</v>
      </c>
      <c r="G106">
        <v>119</v>
      </c>
      <c r="H106" s="72">
        <f t="shared" si="1"/>
        <v>0.3595166163141994</v>
      </c>
    </row>
    <row r="107" spans="1:8" x14ac:dyDescent="0.25">
      <c r="A107" s="141" t="s">
        <v>1561</v>
      </c>
      <c r="B107" s="80">
        <v>595</v>
      </c>
      <c r="C107" s="80">
        <v>313</v>
      </c>
      <c r="D107" s="80">
        <v>39815</v>
      </c>
      <c r="E107" s="167">
        <v>7739</v>
      </c>
      <c r="F107" s="73">
        <v>9.4</v>
      </c>
      <c r="G107">
        <v>175</v>
      </c>
      <c r="H107" s="72">
        <f t="shared" si="1"/>
        <v>0.5591054313099042</v>
      </c>
    </row>
    <row r="108" spans="1:8" x14ac:dyDescent="0.25">
      <c r="A108" s="141" t="s">
        <v>2252</v>
      </c>
      <c r="B108" s="80">
        <v>689</v>
      </c>
      <c r="C108" s="80">
        <v>313</v>
      </c>
      <c r="D108" s="80">
        <v>58750</v>
      </c>
      <c r="E108" s="167">
        <v>11168</v>
      </c>
      <c r="F108" s="73">
        <v>3.2</v>
      </c>
      <c r="G108">
        <v>86</v>
      </c>
      <c r="H108" s="72">
        <f t="shared" si="1"/>
        <v>0.27476038338658149</v>
      </c>
    </row>
    <row r="109" spans="1:8" x14ac:dyDescent="0.25">
      <c r="A109" s="141" t="s">
        <v>1632</v>
      </c>
      <c r="B109" s="80">
        <v>555</v>
      </c>
      <c r="C109" s="80">
        <v>336</v>
      </c>
      <c r="D109" s="80">
        <v>65000</v>
      </c>
      <c r="E109" s="167">
        <v>23687</v>
      </c>
      <c r="F109" s="73">
        <v>2.2999999999999998</v>
      </c>
      <c r="G109">
        <v>69</v>
      </c>
      <c r="H109" s="72">
        <f t="shared" si="1"/>
        <v>0.20535714285714285</v>
      </c>
    </row>
    <row r="110" spans="1:8" x14ac:dyDescent="0.25">
      <c r="A110" s="141" t="s">
        <v>2253</v>
      </c>
      <c r="B110" s="80">
        <v>54</v>
      </c>
      <c r="C110" s="80">
        <v>30</v>
      </c>
      <c r="D110" s="80">
        <v>14625</v>
      </c>
      <c r="E110" s="167">
        <v>12344</v>
      </c>
      <c r="F110" s="73">
        <v>11.1</v>
      </c>
      <c r="G110">
        <v>44</v>
      </c>
      <c r="H110" s="72">
        <f t="shared" si="1"/>
        <v>1.4666666666666666</v>
      </c>
    </row>
    <row r="111" spans="1:8" x14ac:dyDescent="0.25">
      <c r="A111" s="141" t="s">
        <v>1823</v>
      </c>
      <c r="B111" s="80">
        <v>281</v>
      </c>
      <c r="C111" s="80">
        <v>121</v>
      </c>
      <c r="D111" s="80">
        <v>71071</v>
      </c>
      <c r="E111" s="167">
        <v>25518</v>
      </c>
      <c r="F111" s="73">
        <v>5.9</v>
      </c>
      <c r="G111">
        <v>55</v>
      </c>
      <c r="H111" s="72">
        <f t="shared" si="1"/>
        <v>0.45454545454545453</v>
      </c>
    </row>
    <row r="112" spans="1:8" x14ac:dyDescent="0.25">
      <c r="A112" s="141" t="s">
        <v>1013</v>
      </c>
      <c r="B112" s="80">
        <v>16413</v>
      </c>
      <c r="C112" s="80">
        <v>6682</v>
      </c>
      <c r="D112" s="80">
        <v>68371</v>
      </c>
      <c r="E112" s="167">
        <v>14377</v>
      </c>
      <c r="F112" s="73">
        <v>5.4</v>
      </c>
      <c r="G112">
        <v>2316</v>
      </c>
      <c r="H112" s="72">
        <f t="shared" si="1"/>
        <v>0.34660281352888356</v>
      </c>
    </row>
    <row r="113" spans="1:8" x14ac:dyDescent="0.25">
      <c r="A113" s="141" t="s">
        <v>1677</v>
      </c>
      <c r="B113" s="80">
        <v>653</v>
      </c>
      <c r="C113" s="80">
        <v>301</v>
      </c>
      <c r="D113" s="80">
        <v>47063</v>
      </c>
      <c r="E113" s="167">
        <v>3327</v>
      </c>
      <c r="F113" s="73">
        <v>0</v>
      </c>
      <c r="G113">
        <v>143</v>
      </c>
      <c r="H113" s="72">
        <f t="shared" si="1"/>
        <v>0.47508305647840532</v>
      </c>
    </row>
    <row r="114" spans="1:8" x14ac:dyDescent="0.25">
      <c r="A114" s="141" t="s">
        <v>1774</v>
      </c>
      <c r="B114" s="80">
        <v>1089</v>
      </c>
      <c r="C114" s="80">
        <v>562</v>
      </c>
      <c r="D114" s="80">
        <v>43542</v>
      </c>
      <c r="E114" s="167">
        <v>12796</v>
      </c>
      <c r="F114" s="73">
        <v>9.4</v>
      </c>
      <c r="G114">
        <v>171</v>
      </c>
      <c r="H114" s="72">
        <f t="shared" si="1"/>
        <v>0.30427046263345198</v>
      </c>
    </row>
    <row r="115" spans="1:8" x14ac:dyDescent="0.25">
      <c r="A115" s="141" t="s">
        <v>1451</v>
      </c>
      <c r="B115" s="80">
        <v>61536</v>
      </c>
      <c r="C115" s="80">
        <v>24841</v>
      </c>
      <c r="D115" s="80">
        <v>76017</v>
      </c>
      <c r="E115" s="167">
        <v>3260</v>
      </c>
      <c r="F115" s="73">
        <v>4.5999999999999996</v>
      </c>
      <c r="G115">
        <v>10121</v>
      </c>
      <c r="H115" s="72">
        <f t="shared" si="1"/>
        <v>0.40743126283160902</v>
      </c>
    </row>
    <row r="116" spans="1:8" x14ac:dyDescent="0.25">
      <c r="A116" s="141" t="s">
        <v>2254</v>
      </c>
      <c r="B116" s="80">
        <v>84</v>
      </c>
      <c r="C116" s="80">
        <v>69</v>
      </c>
      <c r="D116" s="80">
        <v>35625</v>
      </c>
      <c r="E116" s="167">
        <v>12348</v>
      </c>
      <c r="F116" s="73">
        <v>0</v>
      </c>
      <c r="G116">
        <v>16</v>
      </c>
      <c r="H116" s="72">
        <f t="shared" si="1"/>
        <v>0.2318840579710145</v>
      </c>
    </row>
    <row r="117" spans="1:8" x14ac:dyDescent="0.25">
      <c r="A117" s="141" t="s">
        <v>2020</v>
      </c>
      <c r="B117" s="80">
        <v>558</v>
      </c>
      <c r="C117" s="80">
        <v>258</v>
      </c>
      <c r="D117" s="80">
        <v>40833</v>
      </c>
      <c r="E117" s="167">
        <v>12869</v>
      </c>
      <c r="F117" s="73">
        <v>9.8000000000000007</v>
      </c>
      <c r="G117">
        <v>116</v>
      </c>
      <c r="H117" s="72">
        <f t="shared" si="1"/>
        <v>0.44961240310077522</v>
      </c>
    </row>
    <row r="118" spans="1:8" x14ac:dyDescent="0.25">
      <c r="A118" s="141" t="s">
        <v>1546</v>
      </c>
      <c r="B118" s="80">
        <v>5536</v>
      </c>
      <c r="C118" s="80">
        <v>2116</v>
      </c>
      <c r="D118" s="80">
        <v>104213</v>
      </c>
      <c r="E118" s="167">
        <v>16418</v>
      </c>
      <c r="F118" s="73">
        <v>0</v>
      </c>
      <c r="G118">
        <v>160</v>
      </c>
      <c r="H118" s="72">
        <f t="shared" si="1"/>
        <v>7.5614366729678639E-2</v>
      </c>
    </row>
    <row r="119" spans="1:8" x14ac:dyDescent="0.25">
      <c r="A119" s="141" t="s">
        <v>1015</v>
      </c>
      <c r="B119" s="80">
        <v>2759</v>
      </c>
      <c r="C119" s="80">
        <v>1411</v>
      </c>
      <c r="D119" s="80">
        <v>51144</v>
      </c>
      <c r="E119" s="167">
        <v>6779</v>
      </c>
      <c r="F119" s="73">
        <v>1.6</v>
      </c>
      <c r="G119">
        <v>493</v>
      </c>
      <c r="H119" s="72">
        <f t="shared" si="1"/>
        <v>0.3493975903614458</v>
      </c>
    </row>
    <row r="120" spans="1:8" x14ac:dyDescent="0.25">
      <c r="A120" s="141" t="s">
        <v>1851</v>
      </c>
      <c r="B120" s="80">
        <v>215</v>
      </c>
      <c r="C120" s="80">
        <v>104</v>
      </c>
      <c r="D120" s="80">
        <v>47500</v>
      </c>
      <c r="E120" s="167">
        <v>27504</v>
      </c>
      <c r="F120" s="73">
        <v>9.1999999999999993</v>
      </c>
      <c r="G120">
        <v>38</v>
      </c>
      <c r="H120" s="72">
        <f t="shared" si="1"/>
        <v>0.36538461538461536</v>
      </c>
    </row>
    <row r="121" spans="1:8" x14ac:dyDescent="0.25">
      <c r="A121" s="141" t="s">
        <v>1544</v>
      </c>
      <c r="B121" s="80">
        <v>341</v>
      </c>
      <c r="C121" s="80">
        <v>196</v>
      </c>
      <c r="D121" s="80">
        <v>50625</v>
      </c>
      <c r="E121" s="167">
        <v>9144</v>
      </c>
      <c r="F121" s="73">
        <v>6.1</v>
      </c>
      <c r="G121">
        <v>107</v>
      </c>
      <c r="H121" s="72">
        <f t="shared" si="1"/>
        <v>0.54591836734693877</v>
      </c>
    </row>
    <row r="122" spans="1:8" x14ac:dyDescent="0.25">
      <c r="A122" s="141" t="s">
        <v>1726</v>
      </c>
      <c r="B122" s="80">
        <v>8975</v>
      </c>
      <c r="C122" s="80">
        <v>3663</v>
      </c>
      <c r="D122" s="80">
        <v>58021</v>
      </c>
      <c r="E122" s="167">
        <v>11452</v>
      </c>
      <c r="F122" s="73">
        <v>1.9</v>
      </c>
      <c r="G122">
        <v>1947</v>
      </c>
      <c r="H122" s="72">
        <f t="shared" si="1"/>
        <v>0.53153153153153154</v>
      </c>
    </row>
    <row r="123" spans="1:8" x14ac:dyDescent="0.25">
      <c r="A123" s="141" t="s">
        <v>1998</v>
      </c>
      <c r="B123" s="80">
        <v>166</v>
      </c>
      <c r="C123" s="80">
        <v>94</v>
      </c>
      <c r="D123" s="80">
        <v>62578</v>
      </c>
      <c r="E123" s="167">
        <v>3024</v>
      </c>
      <c r="F123" s="73">
        <v>2.8</v>
      </c>
      <c r="G123">
        <v>21</v>
      </c>
      <c r="H123" s="72">
        <f t="shared" si="1"/>
        <v>0.22340425531914893</v>
      </c>
    </row>
    <row r="124" spans="1:8" x14ac:dyDescent="0.25">
      <c r="A124" s="141" t="s">
        <v>1528</v>
      </c>
      <c r="B124" s="80">
        <v>1558</v>
      </c>
      <c r="C124" s="80">
        <v>909</v>
      </c>
      <c r="D124" s="80">
        <v>50992</v>
      </c>
      <c r="E124" s="167">
        <v>2333</v>
      </c>
      <c r="F124" s="73">
        <v>0.7</v>
      </c>
      <c r="G124">
        <v>258</v>
      </c>
      <c r="H124" s="72">
        <f t="shared" si="1"/>
        <v>0.28382838283828382</v>
      </c>
    </row>
    <row r="125" spans="1:8" x14ac:dyDescent="0.25">
      <c r="A125" s="141" t="s">
        <v>1650</v>
      </c>
      <c r="B125" s="80">
        <v>4053</v>
      </c>
      <c r="C125" s="80">
        <v>1851</v>
      </c>
      <c r="D125" s="80">
        <v>65655</v>
      </c>
      <c r="E125" s="167">
        <v>8958</v>
      </c>
      <c r="F125" s="73">
        <v>1.6</v>
      </c>
      <c r="G125">
        <v>514</v>
      </c>
      <c r="H125" s="72">
        <f t="shared" si="1"/>
        <v>0.27768773635872501</v>
      </c>
    </row>
    <row r="126" spans="1:8" x14ac:dyDescent="0.25">
      <c r="A126" s="141" t="s">
        <v>1017</v>
      </c>
      <c r="B126" s="80">
        <v>444</v>
      </c>
      <c r="C126" s="80">
        <v>181</v>
      </c>
      <c r="D126" s="80">
        <v>53750</v>
      </c>
      <c r="E126" s="167">
        <v>19598</v>
      </c>
      <c r="F126" s="73">
        <v>2</v>
      </c>
      <c r="G126">
        <v>127</v>
      </c>
      <c r="H126" s="72">
        <f t="shared" si="1"/>
        <v>0.7016574585635359</v>
      </c>
    </row>
    <row r="127" spans="1:8" x14ac:dyDescent="0.25">
      <c r="A127" s="141" t="s">
        <v>1919</v>
      </c>
      <c r="B127" s="80">
        <v>410</v>
      </c>
      <c r="C127" s="80">
        <v>207</v>
      </c>
      <c r="D127" s="80">
        <v>61250</v>
      </c>
      <c r="E127" s="167">
        <v>11311</v>
      </c>
      <c r="F127" s="73">
        <v>1.8</v>
      </c>
      <c r="G127">
        <v>72</v>
      </c>
      <c r="H127" s="72">
        <f t="shared" si="1"/>
        <v>0.34782608695652173</v>
      </c>
    </row>
    <row r="128" spans="1:8" x14ac:dyDescent="0.25">
      <c r="A128" s="141" t="s">
        <v>1922</v>
      </c>
      <c r="B128" s="80">
        <v>1006</v>
      </c>
      <c r="C128" s="80">
        <v>462</v>
      </c>
      <c r="D128" s="80">
        <v>43309</v>
      </c>
      <c r="E128" s="167">
        <v>6146</v>
      </c>
      <c r="F128" s="73">
        <v>13.2</v>
      </c>
      <c r="G128">
        <v>136</v>
      </c>
      <c r="H128" s="72">
        <f t="shared" si="1"/>
        <v>0.2943722943722944</v>
      </c>
    </row>
    <row r="129" spans="1:8" x14ac:dyDescent="0.25">
      <c r="A129" s="141" t="s">
        <v>1831</v>
      </c>
      <c r="B129" s="80">
        <v>5438</v>
      </c>
      <c r="C129" s="80">
        <v>1814</v>
      </c>
      <c r="D129" s="80">
        <v>109589</v>
      </c>
      <c r="E129" s="167">
        <v>6109</v>
      </c>
      <c r="F129" s="73">
        <v>3.4</v>
      </c>
      <c r="G129">
        <v>140</v>
      </c>
      <c r="H129" s="72">
        <f t="shared" si="1"/>
        <v>7.7177508269018744E-2</v>
      </c>
    </row>
    <row r="130" spans="1:8" x14ac:dyDescent="0.25">
      <c r="A130" s="141" t="s">
        <v>1758</v>
      </c>
      <c r="B130" s="80">
        <v>896</v>
      </c>
      <c r="C130" s="80">
        <v>653</v>
      </c>
      <c r="D130" s="80">
        <v>115417</v>
      </c>
      <c r="E130" s="167">
        <v>12937</v>
      </c>
      <c r="F130" s="73">
        <v>3.4</v>
      </c>
      <c r="G130">
        <v>302</v>
      </c>
      <c r="H130" s="72">
        <f t="shared" ref="H130:H193" si="2">G130/C130</f>
        <v>0.46248085758039814</v>
      </c>
    </row>
    <row r="131" spans="1:8" x14ac:dyDescent="0.25">
      <c r="A131" s="141" t="s">
        <v>2255</v>
      </c>
      <c r="B131" s="80">
        <v>40</v>
      </c>
      <c r="C131" s="80">
        <v>27</v>
      </c>
      <c r="D131" s="80">
        <v>45417</v>
      </c>
      <c r="E131" s="167">
        <v>35031</v>
      </c>
      <c r="F131" s="73">
        <v>0</v>
      </c>
      <c r="G131">
        <v>4</v>
      </c>
      <c r="H131" s="72">
        <f t="shared" si="2"/>
        <v>0.14814814814814814</v>
      </c>
    </row>
    <row r="132" spans="1:8" x14ac:dyDescent="0.25">
      <c r="A132" s="141" t="s">
        <v>1809</v>
      </c>
      <c r="B132" s="80">
        <v>592</v>
      </c>
      <c r="C132" s="80">
        <v>319</v>
      </c>
      <c r="D132" s="80">
        <v>77679</v>
      </c>
      <c r="E132" s="167">
        <v>7040</v>
      </c>
      <c r="F132" s="73">
        <v>5.7</v>
      </c>
      <c r="G132">
        <v>51</v>
      </c>
      <c r="H132" s="72">
        <f t="shared" si="2"/>
        <v>0.15987460815047022</v>
      </c>
    </row>
    <row r="133" spans="1:8" x14ac:dyDescent="0.25">
      <c r="A133" s="141" t="s">
        <v>1748</v>
      </c>
      <c r="B133" s="80">
        <v>4006</v>
      </c>
      <c r="C133" s="80">
        <v>1450</v>
      </c>
      <c r="D133" s="80">
        <v>110341</v>
      </c>
      <c r="E133" s="167">
        <v>13988</v>
      </c>
      <c r="F133" s="73">
        <v>2.7</v>
      </c>
      <c r="G133">
        <v>104</v>
      </c>
      <c r="H133" s="72">
        <f t="shared" si="2"/>
        <v>7.1724137931034479E-2</v>
      </c>
    </row>
    <row r="134" spans="1:8" x14ac:dyDescent="0.25">
      <c r="A134" s="141" t="s">
        <v>1503</v>
      </c>
      <c r="B134" s="80">
        <v>299</v>
      </c>
      <c r="C134" s="80">
        <v>175</v>
      </c>
      <c r="D134" s="80">
        <v>44167</v>
      </c>
      <c r="E134" s="167">
        <v>10455</v>
      </c>
      <c r="F134" s="73">
        <v>4.4000000000000004</v>
      </c>
      <c r="G134">
        <v>63</v>
      </c>
      <c r="H134" s="72">
        <f t="shared" si="2"/>
        <v>0.36</v>
      </c>
    </row>
    <row r="135" spans="1:8" x14ac:dyDescent="0.25">
      <c r="A135" s="141" t="s">
        <v>1595</v>
      </c>
      <c r="B135" s="80">
        <v>24980</v>
      </c>
      <c r="C135" s="80">
        <v>9214</v>
      </c>
      <c r="D135" s="80">
        <v>96469</v>
      </c>
      <c r="E135" s="167">
        <v>9907</v>
      </c>
      <c r="F135" s="73">
        <v>2.6</v>
      </c>
      <c r="G135">
        <v>2133</v>
      </c>
      <c r="H135" s="72">
        <f t="shared" si="2"/>
        <v>0.23149555024962015</v>
      </c>
    </row>
    <row r="136" spans="1:8" x14ac:dyDescent="0.25">
      <c r="A136" s="141" t="s">
        <v>1731</v>
      </c>
      <c r="B136" s="80">
        <v>312</v>
      </c>
      <c r="C136" s="80">
        <v>145</v>
      </c>
      <c r="D136" s="80">
        <v>63281</v>
      </c>
      <c r="E136" s="167">
        <v>9480</v>
      </c>
      <c r="F136" s="73">
        <v>2.9</v>
      </c>
      <c r="G136">
        <v>91</v>
      </c>
      <c r="H136" s="72">
        <f t="shared" si="2"/>
        <v>0.62758620689655176</v>
      </c>
    </row>
    <row r="137" spans="1:8" x14ac:dyDescent="0.25">
      <c r="A137" s="141" t="s">
        <v>1829</v>
      </c>
      <c r="B137" s="80">
        <v>25965</v>
      </c>
      <c r="C137" s="80">
        <v>9828</v>
      </c>
      <c r="D137" s="80">
        <v>124184</v>
      </c>
      <c r="E137" s="167">
        <v>7389</v>
      </c>
      <c r="F137" s="73">
        <v>2.4</v>
      </c>
      <c r="G137">
        <v>1228</v>
      </c>
      <c r="H137" s="72">
        <f t="shared" si="2"/>
        <v>0.12494912494912495</v>
      </c>
    </row>
    <row r="138" spans="1:8" x14ac:dyDescent="0.25">
      <c r="A138" s="141" t="s">
        <v>1775</v>
      </c>
      <c r="B138" s="80">
        <v>26753</v>
      </c>
      <c r="C138" s="80">
        <v>10485</v>
      </c>
      <c r="D138" s="80">
        <v>90161</v>
      </c>
      <c r="E138" s="167">
        <v>7233</v>
      </c>
      <c r="F138" s="73">
        <v>1.7</v>
      </c>
      <c r="G138">
        <v>2010</v>
      </c>
      <c r="H138" s="72">
        <f t="shared" si="2"/>
        <v>0.19170243204577969</v>
      </c>
    </row>
    <row r="139" spans="1:8" x14ac:dyDescent="0.25">
      <c r="A139" s="141" t="s">
        <v>1574</v>
      </c>
      <c r="B139" s="80">
        <v>2690</v>
      </c>
      <c r="C139" s="80">
        <v>1173</v>
      </c>
      <c r="D139" s="80">
        <v>75106</v>
      </c>
      <c r="E139" s="167">
        <v>4593</v>
      </c>
      <c r="F139" s="73">
        <v>1.1000000000000001</v>
      </c>
      <c r="G139">
        <v>205</v>
      </c>
      <c r="H139" s="72">
        <f t="shared" si="2"/>
        <v>0.17476555839727195</v>
      </c>
    </row>
    <row r="140" spans="1:8" x14ac:dyDescent="0.25">
      <c r="A140" s="141" t="s">
        <v>2256</v>
      </c>
      <c r="B140" s="80">
        <v>168</v>
      </c>
      <c r="C140" s="80">
        <v>119</v>
      </c>
      <c r="D140" s="80">
        <v>69063</v>
      </c>
      <c r="E140" s="167">
        <v>6763</v>
      </c>
      <c r="F140" s="73">
        <v>1.6</v>
      </c>
      <c r="G140">
        <v>13</v>
      </c>
      <c r="H140" s="72">
        <f t="shared" si="2"/>
        <v>0.1092436974789916</v>
      </c>
    </row>
    <row r="141" spans="1:8" x14ac:dyDescent="0.25">
      <c r="A141" s="141" t="s">
        <v>1811</v>
      </c>
      <c r="B141" s="80">
        <v>5159</v>
      </c>
      <c r="C141" s="80">
        <v>2346</v>
      </c>
      <c r="D141" s="80">
        <v>81852</v>
      </c>
      <c r="E141" s="167">
        <v>9195</v>
      </c>
      <c r="F141" s="73">
        <v>4.4000000000000004</v>
      </c>
      <c r="G141">
        <v>396</v>
      </c>
      <c r="H141" s="72">
        <f t="shared" si="2"/>
        <v>0.16879795396419436</v>
      </c>
    </row>
    <row r="142" spans="1:8" x14ac:dyDescent="0.25">
      <c r="A142" s="141" t="s">
        <v>1019</v>
      </c>
      <c r="B142" s="80">
        <v>4879</v>
      </c>
      <c r="C142" s="80">
        <v>2418</v>
      </c>
      <c r="D142" s="80">
        <v>41761</v>
      </c>
      <c r="E142" s="167">
        <v>8457</v>
      </c>
      <c r="F142" s="73">
        <v>10.199999999999999</v>
      </c>
      <c r="G142">
        <v>1509</v>
      </c>
      <c r="H142" s="72">
        <f t="shared" si="2"/>
        <v>0.62406947890818854</v>
      </c>
    </row>
    <row r="143" spans="1:8" x14ac:dyDescent="0.25">
      <c r="A143" s="141" t="s">
        <v>1840</v>
      </c>
      <c r="B143" s="80">
        <v>414</v>
      </c>
      <c r="C143" s="80">
        <v>239</v>
      </c>
      <c r="D143" s="80">
        <v>47500</v>
      </c>
      <c r="E143" s="167">
        <v>18982</v>
      </c>
      <c r="F143" s="73">
        <v>2</v>
      </c>
      <c r="G143">
        <v>77</v>
      </c>
      <c r="H143" s="72">
        <f t="shared" si="2"/>
        <v>0.32217573221757323</v>
      </c>
    </row>
    <row r="144" spans="1:8" x14ac:dyDescent="0.25">
      <c r="A144" s="141" t="s">
        <v>1637</v>
      </c>
      <c r="B144" s="80">
        <v>4951</v>
      </c>
      <c r="C144" s="80">
        <v>1978</v>
      </c>
      <c r="D144" s="80">
        <v>84550</v>
      </c>
      <c r="E144" s="167">
        <v>5165</v>
      </c>
      <c r="F144" s="73">
        <v>4.4000000000000004</v>
      </c>
      <c r="G144">
        <v>352</v>
      </c>
      <c r="H144" s="72">
        <f t="shared" si="2"/>
        <v>0.17795753286147623</v>
      </c>
    </row>
    <row r="145" spans="1:8" x14ac:dyDescent="0.25">
      <c r="A145" s="141" t="s">
        <v>1021</v>
      </c>
      <c r="B145" s="80">
        <v>1510</v>
      </c>
      <c r="C145" s="80">
        <v>679</v>
      </c>
      <c r="D145" s="80">
        <v>50278</v>
      </c>
      <c r="E145" s="167">
        <v>4072</v>
      </c>
      <c r="F145" s="73">
        <v>9.6999999999999993</v>
      </c>
      <c r="G145">
        <v>481</v>
      </c>
      <c r="H145" s="72">
        <f t="shared" si="2"/>
        <v>0.70839469808541977</v>
      </c>
    </row>
    <row r="146" spans="1:8" x14ac:dyDescent="0.25">
      <c r="A146" s="141" t="s">
        <v>1023</v>
      </c>
      <c r="B146" s="80">
        <v>773</v>
      </c>
      <c r="C146" s="80">
        <v>271</v>
      </c>
      <c r="D146" s="80">
        <v>54583</v>
      </c>
      <c r="E146" s="167">
        <v>6878</v>
      </c>
      <c r="F146" s="73">
        <v>7.5</v>
      </c>
      <c r="G146">
        <v>199</v>
      </c>
      <c r="H146" s="72">
        <f t="shared" si="2"/>
        <v>0.73431734317343178</v>
      </c>
    </row>
    <row r="147" spans="1:8" x14ac:dyDescent="0.25">
      <c r="A147" s="141" t="s">
        <v>1891</v>
      </c>
      <c r="B147" s="80">
        <v>637</v>
      </c>
      <c r="C147" s="80">
        <v>306</v>
      </c>
      <c r="D147" s="80">
        <v>43250</v>
      </c>
      <c r="E147" s="167">
        <v>12979</v>
      </c>
      <c r="F147" s="73">
        <v>9.1999999999999993</v>
      </c>
      <c r="G147">
        <v>137</v>
      </c>
      <c r="H147" s="72">
        <f t="shared" si="2"/>
        <v>0.44771241830065361</v>
      </c>
    </row>
    <row r="148" spans="1:8" x14ac:dyDescent="0.25">
      <c r="A148" s="141" t="s">
        <v>1529</v>
      </c>
      <c r="B148" s="80">
        <v>962</v>
      </c>
      <c r="C148" s="80">
        <v>475</v>
      </c>
      <c r="D148" s="80">
        <v>52235</v>
      </c>
      <c r="E148" s="167">
        <v>2630</v>
      </c>
      <c r="F148" s="73">
        <v>3.8</v>
      </c>
      <c r="G148">
        <v>76</v>
      </c>
      <c r="H148" s="72">
        <f t="shared" si="2"/>
        <v>0.16</v>
      </c>
    </row>
    <row r="149" spans="1:8" x14ac:dyDescent="0.25">
      <c r="A149" s="141" t="s">
        <v>1704</v>
      </c>
      <c r="B149" s="80">
        <v>640</v>
      </c>
      <c r="C149" s="80">
        <v>285</v>
      </c>
      <c r="D149" s="80">
        <v>55278</v>
      </c>
      <c r="E149" s="167">
        <v>7766</v>
      </c>
      <c r="F149" s="73">
        <v>1.3</v>
      </c>
      <c r="G149">
        <v>140</v>
      </c>
      <c r="H149" s="72">
        <f t="shared" si="2"/>
        <v>0.49122807017543857</v>
      </c>
    </row>
    <row r="150" spans="1:8" x14ac:dyDescent="0.25">
      <c r="A150" s="141" t="s">
        <v>1723</v>
      </c>
      <c r="B150" s="80">
        <v>636</v>
      </c>
      <c r="C150" s="80">
        <v>279</v>
      </c>
      <c r="D150" s="80">
        <v>38295</v>
      </c>
      <c r="E150" s="167">
        <v>5869</v>
      </c>
      <c r="F150" s="73">
        <v>9.1999999999999993</v>
      </c>
      <c r="G150">
        <v>194</v>
      </c>
      <c r="H150" s="72">
        <f t="shared" si="2"/>
        <v>0.69534050179211471</v>
      </c>
    </row>
    <row r="151" spans="1:8" x14ac:dyDescent="0.25">
      <c r="A151" s="141" t="s">
        <v>1687</v>
      </c>
      <c r="B151" s="80">
        <v>671</v>
      </c>
      <c r="C151" s="80">
        <v>222</v>
      </c>
      <c r="D151" s="80">
        <v>94405</v>
      </c>
      <c r="E151" s="167">
        <v>7961</v>
      </c>
      <c r="F151" s="73">
        <v>4.0999999999999996</v>
      </c>
      <c r="G151">
        <v>23</v>
      </c>
      <c r="H151" s="72">
        <f t="shared" si="2"/>
        <v>0.1036036036036036</v>
      </c>
    </row>
    <row r="152" spans="1:8" x14ac:dyDescent="0.25">
      <c r="A152" s="141" t="s">
        <v>1609</v>
      </c>
      <c r="B152" s="80">
        <v>1636</v>
      </c>
      <c r="C152" s="80">
        <v>652</v>
      </c>
      <c r="D152" s="80">
        <v>63958</v>
      </c>
      <c r="E152" s="167">
        <v>7975</v>
      </c>
      <c r="F152" s="73">
        <v>3.4</v>
      </c>
      <c r="G152">
        <v>318</v>
      </c>
      <c r="H152" s="72">
        <f t="shared" si="2"/>
        <v>0.48773006134969327</v>
      </c>
    </row>
    <row r="153" spans="1:8" x14ac:dyDescent="0.25">
      <c r="A153" s="141" t="s">
        <v>1638</v>
      </c>
      <c r="B153" s="80">
        <v>139</v>
      </c>
      <c r="C153" s="80">
        <v>80</v>
      </c>
      <c r="D153" s="80">
        <v>43393</v>
      </c>
      <c r="E153" s="167">
        <v>10642</v>
      </c>
      <c r="F153" s="73">
        <v>3</v>
      </c>
      <c r="G153">
        <v>50</v>
      </c>
      <c r="H153" s="72">
        <f t="shared" si="2"/>
        <v>0.625</v>
      </c>
    </row>
    <row r="154" spans="1:8" x14ac:dyDescent="0.25">
      <c r="A154" s="141" t="s">
        <v>1695</v>
      </c>
      <c r="B154" s="80">
        <v>792</v>
      </c>
      <c r="C154" s="80">
        <v>281</v>
      </c>
      <c r="D154" s="80">
        <v>74063</v>
      </c>
      <c r="E154" s="167">
        <v>8331</v>
      </c>
      <c r="F154" s="73">
        <v>1.9</v>
      </c>
      <c r="G154">
        <v>57</v>
      </c>
      <c r="H154" s="72">
        <f t="shared" si="2"/>
        <v>0.20284697508896798</v>
      </c>
    </row>
    <row r="155" spans="1:8" x14ac:dyDescent="0.25">
      <c r="A155" s="141" t="s">
        <v>1711</v>
      </c>
      <c r="B155" s="80">
        <v>218</v>
      </c>
      <c r="C155" s="80">
        <v>101</v>
      </c>
      <c r="D155" s="80">
        <v>44844</v>
      </c>
      <c r="E155" s="167">
        <v>13813</v>
      </c>
      <c r="F155" s="73">
        <v>2</v>
      </c>
      <c r="G155">
        <v>67</v>
      </c>
      <c r="H155" s="72">
        <f t="shared" si="2"/>
        <v>0.6633663366336634</v>
      </c>
    </row>
    <row r="156" spans="1:8" x14ac:dyDescent="0.25">
      <c r="A156" s="141" t="s">
        <v>1470</v>
      </c>
      <c r="B156" s="80">
        <v>313</v>
      </c>
      <c r="C156" s="80">
        <v>258</v>
      </c>
      <c r="D156" s="80">
        <v>59688</v>
      </c>
      <c r="E156" s="167">
        <v>19176</v>
      </c>
      <c r="F156" s="73">
        <v>0.5</v>
      </c>
      <c r="G156">
        <v>57</v>
      </c>
      <c r="H156" s="72">
        <f t="shared" si="2"/>
        <v>0.22093023255813954</v>
      </c>
    </row>
    <row r="157" spans="1:8" x14ac:dyDescent="0.25">
      <c r="A157" s="141" t="s">
        <v>2258</v>
      </c>
      <c r="B157" s="80">
        <v>109</v>
      </c>
      <c r="C157" s="80">
        <v>63</v>
      </c>
      <c r="D157" s="80">
        <v>36250</v>
      </c>
      <c r="E157" s="167">
        <v>7965</v>
      </c>
      <c r="F157" s="73">
        <v>0</v>
      </c>
      <c r="G157">
        <v>48</v>
      </c>
      <c r="H157" s="72">
        <f t="shared" si="2"/>
        <v>0.76190476190476186</v>
      </c>
    </row>
    <row r="158" spans="1:8" x14ac:dyDescent="0.25">
      <c r="A158" s="141" t="s">
        <v>2259</v>
      </c>
      <c r="B158" s="80">
        <v>91</v>
      </c>
      <c r="C158" s="80">
        <v>51</v>
      </c>
      <c r="D158" s="80">
        <v>68125</v>
      </c>
      <c r="E158" s="167">
        <v>14787</v>
      </c>
      <c r="F158" s="73">
        <v>7.5</v>
      </c>
      <c r="G158">
        <v>2</v>
      </c>
      <c r="H158" s="72">
        <f t="shared" si="2"/>
        <v>3.9215686274509803E-2</v>
      </c>
    </row>
    <row r="159" spans="1:8" x14ac:dyDescent="0.25">
      <c r="A159" s="141" t="s">
        <v>1732</v>
      </c>
      <c r="B159" s="80">
        <v>11994</v>
      </c>
      <c r="C159" s="80">
        <v>5329</v>
      </c>
      <c r="D159" s="80">
        <v>54011</v>
      </c>
      <c r="E159" s="167">
        <v>2563</v>
      </c>
      <c r="F159" s="73">
        <v>6.3</v>
      </c>
      <c r="G159">
        <v>2895</v>
      </c>
      <c r="H159" s="72">
        <f t="shared" si="2"/>
        <v>0.54325389378870337</v>
      </c>
    </row>
    <row r="160" spans="1:8" x14ac:dyDescent="0.25">
      <c r="A160" s="141" t="s">
        <v>2260</v>
      </c>
      <c r="B160" s="80">
        <v>142</v>
      </c>
      <c r="C160" s="80">
        <v>62</v>
      </c>
      <c r="D160" s="80">
        <v>57250</v>
      </c>
      <c r="E160" s="167">
        <v>9167</v>
      </c>
      <c r="F160" s="73">
        <v>1.2</v>
      </c>
      <c r="G160">
        <v>28</v>
      </c>
      <c r="H160" s="72">
        <f t="shared" si="2"/>
        <v>0.45161290322580644</v>
      </c>
    </row>
    <row r="161" spans="1:8" x14ac:dyDescent="0.25">
      <c r="A161" s="141" t="s">
        <v>1832</v>
      </c>
      <c r="B161" s="80">
        <v>28</v>
      </c>
      <c r="C161" s="80">
        <v>21</v>
      </c>
      <c r="D161" s="80">
        <v>65625</v>
      </c>
      <c r="E161" s="167">
        <v>37588</v>
      </c>
      <c r="F161" s="73">
        <v>0</v>
      </c>
      <c r="G161">
        <v>3</v>
      </c>
      <c r="H161" s="72">
        <f t="shared" si="2"/>
        <v>0.14285714285714285</v>
      </c>
    </row>
    <row r="162" spans="1:8" x14ac:dyDescent="0.25">
      <c r="A162" s="141" t="s">
        <v>2196</v>
      </c>
      <c r="B162" s="80">
        <v>2710</v>
      </c>
      <c r="C162" s="80">
        <v>1341</v>
      </c>
      <c r="D162" s="80">
        <v>67924</v>
      </c>
      <c r="E162" s="167">
        <v>12241</v>
      </c>
      <c r="F162" s="73">
        <v>7.9</v>
      </c>
      <c r="G162">
        <v>273</v>
      </c>
      <c r="H162" s="72">
        <f t="shared" si="2"/>
        <v>0.20357941834451901</v>
      </c>
    </row>
    <row r="163" spans="1:8" x14ac:dyDescent="0.25">
      <c r="A163" s="141" t="s">
        <v>1836</v>
      </c>
      <c r="B163" s="80">
        <v>2726</v>
      </c>
      <c r="C163" s="80">
        <v>1024</v>
      </c>
      <c r="D163" s="80">
        <v>56136</v>
      </c>
      <c r="E163" s="167">
        <v>9526</v>
      </c>
      <c r="F163" s="73">
        <v>4.5</v>
      </c>
      <c r="G163">
        <v>389</v>
      </c>
      <c r="H163" s="72">
        <f t="shared" si="2"/>
        <v>0.3798828125</v>
      </c>
    </row>
    <row r="164" spans="1:8" x14ac:dyDescent="0.25">
      <c r="A164" s="141" t="s">
        <v>1025</v>
      </c>
      <c r="B164" s="80">
        <v>4238</v>
      </c>
      <c r="C164" s="80">
        <v>1727</v>
      </c>
      <c r="D164" s="80">
        <v>63833</v>
      </c>
      <c r="E164" s="167">
        <v>12630</v>
      </c>
      <c r="F164" s="73">
        <v>0.5</v>
      </c>
      <c r="G164">
        <v>656</v>
      </c>
      <c r="H164" s="72">
        <f t="shared" si="2"/>
        <v>0.37984944991314418</v>
      </c>
    </row>
    <row r="165" spans="1:8" x14ac:dyDescent="0.25">
      <c r="A165" s="141" t="s">
        <v>1786</v>
      </c>
      <c r="B165" s="80">
        <v>1660</v>
      </c>
      <c r="C165" s="80">
        <v>826</v>
      </c>
      <c r="D165" s="80">
        <v>42222</v>
      </c>
      <c r="E165" s="167">
        <v>13850</v>
      </c>
      <c r="F165" s="73">
        <v>6.1</v>
      </c>
      <c r="G165">
        <v>333</v>
      </c>
      <c r="H165" s="72">
        <f t="shared" si="2"/>
        <v>0.40314769975786924</v>
      </c>
    </row>
    <row r="166" spans="1:8" x14ac:dyDescent="0.25">
      <c r="A166" s="141" t="s">
        <v>1776</v>
      </c>
      <c r="B166" s="80">
        <v>2199</v>
      </c>
      <c r="C166" s="80">
        <v>770</v>
      </c>
      <c r="D166" s="80">
        <v>99514</v>
      </c>
      <c r="E166" s="167">
        <v>23928</v>
      </c>
      <c r="F166" s="73">
        <v>3.2</v>
      </c>
      <c r="G166">
        <v>104</v>
      </c>
      <c r="H166" s="72">
        <f t="shared" si="2"/>
        <v>0.13506493506493505</v>
      </c>
    </row>
    <row r="167" spans="1:8" x14ac:dyDescent="0.25">
      <c r="A167" s="141" t="s">
        <v>2027</v>
      </c>
      <c r="B167" s="80">
        <v>20247</v>
      </c>
      <c r="C167" s="80">
        <v>8625</v>
      </c>
      <c r="D167" s="80">
        <v>60778</v>
      </c>
      <c r="E167" s="167">
        <v>3544</v>
      </c>
      <c r="F167" s="73">
        <v>5.5</v>
      </c>
      <c r="G167">
        <v>4353</v>
      </c>
      <c r="H167" s="72">
        <f t="shared" si="2"/>
        <v>0.50469565217391299</v>
      </c>
    </row>
    <row r="168" spans="1:8" x14ac:dyDescent="0.25">
      <c r="A168" s="141" t="s">
        <v>2197</v>
      </c>
      <c r="B168" s="80">
        <v>4109</v>
      </c>
      <c r="C168" s="80">
        <v>1601</v>
      </c>
      <c r="D168" s="80">
        <v>93892</v>
      </c>
      <c r="E168" s="167">
        <v>13080</v>
      </c>
      <c r="F168" s="73">
        <v>2.1</v>
      </c>
      <c r="G168">
        <v>303</v>
      </c>
      <c r="H168" s="72">
        <f t="shared" si="2"/>
        <v>0.18925671455340412</v>
      </c>
    </row>
    <row r="169" spans="1:8" x14ac:dyDescent="0.25">
      <c r="A169" s="141" t="s">
        <v>1483</v>
      </c>
      <c r="B169" s="80">
        <v>330</v>
      </c>
      <c r="C169" s="80">
        <v>187</v>
      </c>
      <c r="D169" s="80">
        <v>51250</v>
      </c>
      <c r="E169" s="167">
        <v>8957</v>
      </c>
      <c r="F169" s="73">
        <v>3</v>
      </c>
      <c r="G169">
        <v>57</v>
      </c>
      <c r="H169" s="72">
        <f t="shared" si="2"/>
        <v>0.30481283422459893</v>
      </c>
    </row>
    <row r="170" spans="1:8" x14ac:dyDescent="0.25">
      <c r="A170" s="141" t="s">
        <v>1684</v>
      </c>
      <c r="B170" s="80">
        <v>72</v>
      </c>
      <c r="C170" s="80">
        <v>37</v>
      </c>
      <c r="D170" s="80"/>
      <c r="E170" s="167" t="s">
        <v>0</v>
      </c>
      <c r="F170" s="73">
        <v>2.9</v>
      </c>
      <c r="G170">
        <v>33</v>
      </c>
      <c r="H170" s="72">
        <f t="shared" si="2"/>
        <v>0.89189189189189189</v>
      </c>
    </row>
    <row r="171" spans="1:8" x14ac:dyDescent="0.25">
      <c r="A171" s="141" t="s">
        <v>1548</v>
      </c>
      <c r="B171" s="80">
        <v>130</v>
      </c>
      <c r="C171" s="80">
        <v>62</v>
      </c>
      <c r="D171" s="80">
        <v>57708</v>
      </c>
      <c r="E171" s="167">
        <v>11217</v>
      </c>
      <c r="F171" s="73">
        <v>1.3</v>
      </c>
      <c r="G171">
        <v>11</v>
      </c>
      <c r="H171" s="72">
        <f t="shared" si="2"/>
        <v>0.17741935483870969</v>
      </c>
    </row>
    <row r="172" spans="1:8" x14ac:dyDescent="0.25">
      <c r="A172" s="141" t="s">
        <v>1801</v>
      </c>
      <c r="B172" s="80">
        <v>489</v>
      </c>
      <c r="C172" s="80">
        <v>268</v>
      </c>
      <c r="D172" s="80">
        <v>48875</v>
      </c>
      <c r="E172" s="167">
        <v>18199</v>
      </c>
      <c r="F172" s="73">
        <v>1.8</v>
      </c>
      <c r="G172">
        <v>70</v>
      </c>
      <c r="H172" s="72">
        <f t="shared" si="2"/>
        <v>0.26119402985074625</v>
      </c>
    </row>
    <row r="173" spans="1:8" x14ac:dyDescent="0.25">
      <c r="A173" s="141" t="s">
        <v>1447</v>
      </c>
      <c r="B173" s="80">
        <v>62706</v>
      </c>
      <c r="C173" s="80">
        <v>24601</v>
      </c>
      <c r="D173" s="80">
        <v>76169</v>
      </c>
      <c r="E173" s="167">
        <v>2497</v>
      </c>
      <c r="F173" s="73">
        <v>4.2</v>
      </c>
      <c r="G173">
        <v>7183</v>
      </c>
      <c r="H173" s="72">
        <f t="shared" si="2"/>
        <v>0.29198000081297509</v>
      </c>
    </row>
    <row r="174" spans="1:8" x14ac:dyDescent="0.25">
      <c r="A174" s="141" t="s">
        <v>2023</v>
      </c>
      <c r="B174" s="80">
        <v>6113</v>
      </c>
      <c r="C174" s="80">
        <v>2330</v>
      </c>
      <c r="D174" s="80">
        <v>138848</v>
      </c>
      <c r="E174" s="167">
        <v>21569</v>
      </c>
      <c r="F174" s="73">
        <v>1.7</v>
      </c>
      <c r="G174">
        <v>229</v>
      </c>
      <c r="H174" s="72">
        <f t="shared" si="2"/>
        <v>9.82832618025751E-2</v>
      </c>
    </row>
    <row r="175" spans="1:8" x14ac:dyDescent="0.25">
      <c r="A175" s="141" t="s">
        <v>1642</v>
      </c>
      <c r="B175" s="80">
        <v>47</v>
      </c>
      <c r="C175" s="80">
        <v>36</v>
      </c>
      <c r="D175" s="80">
        <v>66042</v>
      </c>
      <c r="E175" s="167">
        <v>14756</v>
      </c>
      <c r="F175" s="73">
        <v>0</v>
      </c>
      <c r="G175">
        <v>15</v>
      </c>
      <c r="H175" s="72">
        <f t="shared" si="2"/>
        <v>0.41666666666666669</v>
      </c>
    </row>
    <row r="176" spans="1:8" x14ac:dyDescent="0.25">
      <c r="A176" s="141" t="s">
        <v>1857</v>
      </c>
      <c r="B176" s="80">
        <v>524</v>
      </c>
      <c r="C176" s="80">
        <v>276</v>
      </c>
      <c r="D176" s="80">
        <v>45156</v>
      </c>
      <c r="E176" s="167">
        <v>11161</v>
      </c>
      <c r="F176" s="73">
        <v>1.6</v>
      </c>
      <c r="G176">
        <v>129</v>
      </c>
      <c r="H176" s="72">
        <f t="shared" si="2"/>
        <v>0.46739130434782611</v>
      </c>
    </row>
    <row r="177" spans="1:8" x14ac:dyDescent="0.25">
      <c r="A177" s="141" t="s">
        <v>1603</v>
      </c>
      <c r="B177" s="80">
        <v>37120</v>
      </c>
      <c r="C177" s="80">
        <v>12661</v>
      </c>
      <c r="D177" s="80">
        <v>102600</v>
      </c>
      <c r="E177" s="167">
        <v>5624</v>
      </c>
      <c r="F177" s="73">
        <v>2.9</v>
      </c>
      <c r="G177">
        <v>1919</v>
      </c>
      <c r="H177" s="72">
        <f t="shared" si="2"/>
        <v>0.15156780665034358</v>
      </c>
    </row>
    <row r="178" spans="1:8" x14ac:dyDescent="0.25">
      <c r="A178" s="141" t="s">
        <v>1616</v>
      </c>
      <c r="B178" s="80">
        <v>1180</v>
      </c>
      <c r="C178" s="80">
        <v>592</v>
      </c>
      <c r="D178" s="80">
        <v>61625</v>
      </c>
      <c r="E178" s="167">
        <v>11904</v>
      </c>
      <c r="F178" s="73">
        <v>2.2999999999999998</v>
      </c>
      <c r="G178">
        <v>248</v>
      </c>
      <c r="H178" s="72">
        <f t="shared" si="2"/>
        <v>0.41891891891891891</v>
      </c>
    </row>
    <row r="179" spans="1:8" x14ac:dyDescent="0.25">
      <c r="A179" s="141" t="s">
        <v>1506</v>
      </c>
      <c r="B179" s="80">
        <v>694</v>
      </c>
      <c r="C179" s="80">
        <v>315</v>
      </c>
      <c r="D179" s="80">
        <v>81000</v>
      </c>
      <c r="E179" s="167">
        <v>15547</v>
      </c>
      <c r="F179" s="73">
        <v>0.7</v>
      </c>
      <c r="G179">
        <v>21</v>
      </c>
      <c r="H179" s="72">
        <f t="shared" si="2"/>
        <v>6.6666666666666666E-2</v>
      </c>
    </row>
    <row r="180" spans="1:8" x14ac:dyDescent="0.25">
      <c r="A180" s="141" t="s">
        <v>1674</v>
      </c>
      <c r="B180" s="80">
        <v>359</v>
      </c>
      <c r="C180" s="80">
        <v>191</v>
      </c>
      <c r="D180" s="80">
        <v>58750</v>
      </c>
      <c r="E180" s="167">
        <v>43306</v>
      </c>
      <c r="F180" s="73">
        <v>0.8</v>
      </c>
      <c r="G180">
        <v>47</v>
      </c>
      <c r="H180" s="72">
        <f t="shared" si="2"/>
        <v>0.24607329842931938</v>
      </c>
    </row>
    <row r="181" spans="1:8" x14ac:dyDescent="0.25">
      <c r="A181" s="141" t="s">
        <v>1712</v>
      </c>
      <c r="B181" s="80">
        <v>7711</v>
      </c>
      <c r="C181" s="80">
        <v>3684</v>
      </c>
      <c r="D181" s="80">
        <v>49321</v>
      </c>
      <c r="E181" s="167">
        <v>6567</v>
      </c>
      <c r="F181" s="73">
        <v>3.3</v>
      </c>
      <c r="G181">
        <v>1746</v>
      </c>
      <c r="H181" s="72">
        <f t="shared" si="2"/>
        <v>0.47394136807817588</v>
      </c>
    </row>
    <row r="182" spans="1:8" x14ac:dyDescent="0.25">
      <c r="A182" s="141" t="s">
        <v>1882</v>
      </c>
      <c r="B182" s="80">
        <v>2780</v>
      </c>
      <c r="C182" s="80">
        <v>1502</v>
      </c>
      <c r="D182" s="80">
        <v>34888</v>
      </c>
      <c r="E182" s="167">
        <v>7221</v>
      </c>
      <c r="F182" s="73">
        <v>6.9</v>
      </c>
      <c r="G182">
        <v>916</v>
      </c>
      <c r="H182" s="72">
        <f t="shared" si="2"/>
        <v>0.60985352862849529</v>
      </c>
    </row>
    <row r="183" spans="1:8" x14ac:dyDescent="0.25">
      <c r="A183" s="141" t="s">
        <v>2261</v>
      </c>
      <c r="B183" s="80">
        <v>2389</v>
      </c>
      <c r="C183" s="80">
        <v>2973</v>
      </c>
      <c r="D183" s="80">
        <v>70331</v>
      </c>
      <c r="E183" s="167">
        <v>16581</v>
      </c>
      <c r="F183" s="73">
        <v>1.9</v>
      </c>
      <c r="G183">
        <v>189</v>
      </c>
      <c r="H183" s="72">
        <f t="shared" si="2"/>
        <v>6.357214934409687E-2</v>
      </c>
    </row>
    <row r="184" spans="1:8" x14ac:dyDescent="0.25">
      <c r="A184" s="141" t="s">
        <v>58</v>
      </c>
      <c r="B184" s="80">
        <v>544</v>
      </c>
      <c r="C184" s="80">
        <v>29</v>
      </c>
      <c r="D184" s="80"/>
      <c r="E184" s="167" t="s">
        <v>0</v>
      </c>
      <c r="F184" s="73">
        <v>4.5</v>
      </c>
      <c r="G184">
        <v>59</v>
      </c>
      <c r="H184" s="72">
        <f t="shared" si="2"/>
        <v>2.0344827586206895</v>
      </c>
    </row>
    <row r="185" spans="1:8" x14ac:dyDescent="0.25">
      <c r="A185" s="141" t="s">
        <v>1910</v>
      </c>
      <c r="B185" s="80">
        <v>22937</v>
      </c>
      <c r="C185" s="80">
        <v>9650</v>
      </c>
      <c r="D185" s="80">
        <v>70724</v>
      </c>
      <c r="E185" s="167">
        <v>3689</v>
      </c>
      <c r="F185" s="73">
        <v>3.7</v>
      </c>
      <c r="G185">
        <v>3406</v>
      </c>
      <c r="H185" s="72">
        <f t="shared" si="2"/>
        <v>0.35295336787564768</v>
      </c>
    </row>
    <row r="186" spans="1:8" x14ac:dyDescent="0.25">
      <c r="A186" s="141" t="s">
        <v>1530</v>
      </c>
      <c r="B186" s="80">
        <v>184</v>
      </c>
      <c r="C186" s="80">
        <v>109</v>
      </c>
      <c r="D186" s="80">
        <v>41250</v>
      </c>
      <c r="E186" s="167">
        <v>4262</v>
      </c>
      <c r="F186" s="73">
        <v>6.4</v>
      </c>
      <c r="G186">
        <v>34</v>
      </c>
      <c r="H186" s="72">
        <f t="shared" si="2"/>
        <v>0.31192660550458717</v>
      </c>
    </row>
    <row r="187" spans="1:8" x14ac:dyDescent="0.25">
      <c r="A187" s="141" t="s">
        <v>1742</v>
      </c>
      <c r="B187" s="80">
        <v>291</v>
      </c>
      <c r="C187" s="80">
        <v>166</v>
      </c>
      <c r="D187" s="80">
        <v>47500</v>
      </c>
      <c r="E187" s="167">
        <v>20902</v>
      </c>
      <c r="F187" s="73">
        <v>18.100000000000001</v>
      </c>
      <c r="G187">
        <v>64</v>
      </c>
      <c r="H187" s="72">
        <f t="shared" si="2"/>
        <v>0.38554216867469882</v>
      </c>
    </row>
    <row r="188" spans="1:8" x14ac:dyDescent="0.25">
      <c r="A188" s="141" t="s">
        <v>1903</v>
      </c>
      <c r="B188" s="80">
        <v>333</v>
      </c>
      <c r="C188" s="80">
        <v>193</v>
      </c>
      <c r="D188" s="80">
        <v>37292</v>
      </c>
      <c r="E188" s="167">
        <v>28670</v>
      </c>
      <c r="F188" s="73">
        <v>1.7</v>
      </c>
      <c r="G188">
        <v>96</v>
      </c>
      <c r="H188" s="72">
        <f t="shared" si="2"/>
        <v>0.49740932642487046</v>
      </c>
    </row>
    <row r="189" spans="1:8" x14ac:dyDescent="0.25">
      <c r="A189" s="141" t="s">
        <v>2262</v>
      </c>
      <c r="B189" s="80">
        <v>264</v>
      </c>
      <c r="C189" s="80">
        <v>149</v>
      </c>
      <c r="D189" s="80">
        <v>61944</v>
      </c>
      <c r="E189" s="167">
        <v>8004</v>
      </c>
      <c r="F189" s="73">
        <v>2.5</v>
      </c>
      <c r="G189">
        <v>20</v>
      </c>
      <c r="H189" s="72">
        <f t="shared" si="2"/>
        <v>0.13422818791946309</v>
      </c>
    </row>
    <row r="190" spans="1:8" x14ac:dyDescent="0.25">
      <c r="A190" s="141" t="s">
        <v>1027</v>
      </c>
      <c r="B190" s="80">
        <v>313</v>
      </c>
      <c r="C190" s="80">
        <v>163</v>
      </c>
      <c r="D190" s="80">
        <v>55366</v>
      </c>
      <c r="E190" s="167">
        <v>4837</v>
      </c>
      <c r="F190" s="73">
        <v>10.6</v>
      </c>
      <c r="G190">
        <v>81</v>
      </c>
      <c r="H190" s="72">
        <f t="shared" si="2"/>
        <v>0.49693251533742333</v>
      </c>
    </row>
    <row r="191" spans="1:8" x14ac:dyDescent="0.25">
      <c r="A191" s="141" t="s">
        <v>1621</v>
      </c>
      <c r="B191" s="80">
        <v>487</v>
      </c>
      <c r="C191" s="80">
        <v>213</v>
      </c>
      <c r="D191" s="80">
        <v>44375</v>
      </c>
      <c r="E191" s="167">
        <v>14897</v>
      </c>
      <c r="F191" s="73">
        <v>0</v>
      </c>
      <c r="G191">
        <v>133</v>
      </c>
      <c r="H191" s="72">
        <f t="shared" si="2"/>
        <v>0.62441314553990612</v>
      </c>
    </row>
    <row r="192" spans="1:8" x14ac:dyDescent="0.25">
      <c r="A192" s="141" t="s">
        <v>2263</v>
      </c>
      <c r="B192" s="80">
        <v>168</v>
      </c>
      <c r="C192" s="80">
        <v>76</v>
      </c>
      <c r="D192" s="80">
        <v>100000</v>
      </c>
      <c r="E192" s="167">
        <v>22710</v>
      </c>
      <c r="F192" s="73">
        <v>11.3</v>
      </c>
      <c r="G192">
        <v>2</v>
      </c>
      <c r="H192" s="72">
        <f t="shared" si="2"/>
        <v>2.6315789473684209E-2</v>
      </c>
    </row>
    <row r="193" spans="1:8" x14ac:dyDescent="0.25">
      <c r="A193" s="141" t="s">
        <v>2011</v>
      </c>
      <c r="B193" s="80">
        <v>70</v>
      </c>
      <c r="C193" s="80">
        <v>61</v>
      </c>
      <c r="D193" s="80">
        <v>50417</v>
      </c>
      <c r="E193" s="167">
        <v>17325</v>
      </c>
      <c r="F193" s="73">
        <v>0</v>
      </c>
      <c r="G193">
        <v>9</v>
      </c>
      <c r="H193" s="72">
        <f t="shared" si="2"/>
        <v>0.14754098360655737</v>
      </c>
    </row>
    <row r="194" spans="1:8" x14ac:dyDescent="0.25">
      <c r="A194" s="141" t="s">
        <v>1896</v>
      </c>
      <c r="B194" s="80">
        <v>302</v>
      </c>
      <c r="C194" s="80">
        <v>144</v>
      </c>
      <c r="D194" s="80">
        <v>67500</v>
      </c>
      <c r="E194" s="167">
        <v>24280</v>
      </c>
      <c r="F194" s="73">
        <v>11.3</v>
      </c>
      <c r="G194">
        <v>18</v>
      </c>
      <c r="H194" s="72">
        <f t="shared" ref="H194:H257" si="3">G194/C194</f>
        <v>0.125</v>
      </c>
    </row>
    <row r="195" spans="1:8" x14ac:dyDescent="0.25">
      <c r="A195" s="141" t="s">
        <v>1817</v>
      </c>
      <c r="B195" s="80">
        <v>1443</v>
      </c>
      <c r="C195" s="80">
        <v>599</v>
      </c>
      <c r="D195" s="80">
        <v>55081</v>
      </c>
      <c r="E195" s="167">
        <v>3484</v>
      </c>
      <c r="F195" s="73">
        <v>2.2000000000000002</v>
      </c>
      <c r="G195">
        <v>260</v>
      </c>
      <c r="H195" s="72">
        <f t="shared" si="3"/>
        <v>0.43405676126878129</v>
      </c>
    </row>
    <row r="196" spans="1:8" x14ac:dyDescent="0.25">
      <c r="A196" s="141" t="s">
        <v>1029</v>
      </c>
      <c r="B196" s="80">
        <v>1507</v>
      </c>
      <c r="C196" s="80">
        <v>754</v>
      </c>
      <c r="D196" s="80">
        <v>55714</v>
      </c>
      <c r="E196" s="167">
        <v>8654</v>
      </c>
      <c r="F196" s="73">
        <v>3.5</v>
      </c>
      <c r="G196">
        <v>173</v>
      </c>
      <c r="H196" s="72">
        <f t="shared" si="3"/>
        <v>0.22944297082228116</v>
      </c>
    </row>
    <row r="197" spans="1:8" x14ac:dyDescent="0.25">
      <c r="A197" s="141" t="s">
        <v>1706</v>
      </c>
      <c r="B197" s="80">
        <v>6258</v>
      </c>
      <c r="C197" s="80">
        <v>2312</v>
      </c>
      <c r="D197" s="80">
        <v>112557</v>
      </c>
      <c r="E197" s="167">
        <v>19929</v>
      </c>
      <c r="F197" s="73">
        <v>1.8</v>
      </c>
      <c r="G197">
        <v>878</v>
      </c>
      <c r="H197" s="72">
        <f t="shared" si="3"/>
        <v>0.37975778546712802</v>
      </c>
    </row>
    <row r="198" spans="1:8" x14ac:dyDescent="0.25">
      <c r="A198" s="141" t="s">
        <v>2264</v>
      </c>
      <c r="B198" s="80">
        <v>3904</v>
      </c>
      <c r="C198" s="80">
        <v>1641</v>
      </c>
      <c r="D198" s="80">
        <v>132813</v>
      </c>
      <c r="E198" s="167">
        <v>17487</v>
      </c>
      <c r="F198" s="73">
        <v>0.5</v>
      </c>
      <c r="G198">
        <v>165</v>
      </c>
      <c r="H198" s="72">
        <f t="shared" si="3"/>
        <v>0.10054844606946983</v>
      </c>
    </row>
    <row r="199" spans="1:8" x14ac:dyDescent="0.25">
      <c r="A199" s="141" t="s">
        <v>1615</v>
      </c>
      <c r="B199" s="80">
        <v>195</v>
      </c>
      <c r="C199" s="80">
        <v>115</v>
      </c>
      <c r="D199" s="80">
        <v>42500</v>
      </c>
      <c r="E199" s="167">
        <v>7387</v>
      </c>
      <c r="F199" s="73">
        <v>1.1000000000000001</v>
      </c>
      <c r="G199">
        <v>44</v>
      </c>
      <c r="H199" s="72">
        <f t="shared" si="3"/>
        <v>0.38260869565217392</v>
      </c>
    </row>
    <row r="200" spans="1:8" x14ac:dyDescent="0.25">
      <c r="A200" s="141" t="s">
        <v>1545</v>
      </c>
      <c r="B200" s="80">
        <v>849</v>
      </c>
      <c r="C200" s="80">
        <v>407</v>
      </c>
      <c r="D200" s="80">
        <v>32371</v>
      </c>
      <c r="E200" s="167">
        <v>9294</v>
      </c>
      <c r="F200" s="73">
        <v>9.9</v>
      </c>
      <c r="G200">
        <v>199</v>
      </c>
      <c r="H200" s="72">
        <f t="shared" si="3"/>
        <v>0.48894348894348894</v>
      </c>
    </row>
    <row r="201" spans="1:8" x14ac:dyDescent="0.25">
      <c r="A201" s="141" t="s">
        <v>1933</v>
      </c>
      <c r="B201" s="80">
        <v>728</v>
      </c>
      <c r="C201" s="80">
        <v>342</v>
      </c>
      <c r="D201" s="80">
        <v>43125</v>
      </c>
      <c r="E201" s="167">
        <v>16215</v>
      </c>
      <c r="F201" s="73">
        <v>5.0999999999999996</v>
      </c>
      <c r="G201">
        <v>191</v>
      </c>
      <c r="H201" s="72">
        <f t="shared" si="3"/>
        <v>0.55847953216374269</v>
      </c>
    </row>
    <row r="202" spans="1:8" x14ac:dyDescent="0.25">
      <c r="A202" s="141" t="s">
        <v>2198</v>
      </c>
      <c r="B202" s="80">
        <v>99</v>
      </c>
      <c r="C202" s="80">
        <v>66</v>
      </c>
      <c r="D202" s="80">
        <v>60625</v>
      </c>
      <c r="E202" s="167">
        <v>27508</v>
      </c>
      <c r="F202" s="73">
        <v>3</v>
      </c>
      <c r="G202">
        <v>17</v>
      </c>
      <c r="H202" s="72">
        <f t="shared" si="3"/>
        <v>0.25757575757575757</v>
      </c>
    </row>
    <row r="203" spans="1:8" x14ac:dyDescent="0.25">
      <c r="A203" s="141" t="s">
        <v>2199</v>
      </c>
      <c r="B203" s="80">
        <v>6167</v>
      </c>
      <c r="C203" s="80">
        <v>2283</v>
      </c>
      <c r="D203" s="80">
        <v>101845</v>
      </c>
      <c r="E203" s="167">
        <v>22748</v>
      </c>
      <c r="F203" s="73">
        <v>1.3</v>
      </c>
      <c r="G203">
        <v>412</v>
      </c>
      <c r="H203" s="72">
        <f t="shared" si="3"/>
        <v>0.18046430135786246</v>
      </c>
    </row>
    <row r="204" spans="1:8" x14ac:dyDescent="0.25">
      <c r="A204" s="141" t="s">
        <v>1699</v>
      </c>
      <c r="B204" s="80">
        <v>206</v>
      </c>
      <c r="C204" s="80">
        <v>120</v>
      </c>
      <c r="D204" s="80">
        <v>57500</v>
      </c>
      <c r="E204" s="167">
        <v>6550</v>
      </c>
      <c r="F204" s="73">
        <v>5.0999999999999996</v>
      </c>
      <c r="G204">
        <v>46</v>
      </c>
      <c r="H204" s="72">
        <f t="shared" si="3"/>
        <v>0.38333333333333336</v>
      </c>
    </row>
    <row r="205" spans="1:8" x14ac:dyDescent="0.25">
      <c r="A205" s="141" t="s">
        <v>1031</v>
      </c>
      <c r="B205" s="80">
        <v>38</v>
      </c>
      <c r="C205" s="80">
        <v>28</v>
      </c>
      <c r="D205" s="80">
        <v>41250</v>
      </c>
      <c r="E205" s="167">
        <v>21545</v>
      </c>
      <c r="F205" s="73">
        <v>0</v>
      </c>
      <c r="G205">
        <v>7</v>
      </c>
      <c r="H205" s="72">
        <f t="shared" si="3"/>
        <v>0.25</v>
      </c>
    </row>
    <row r="206" spans="1:8" x14ac:dyDescent="0.25">
      <c r="A206" s="141" t="s">
        <v>2266</v>
      </c>
      <c r="B206" s="80">
        <v>1295</v>
      </c>
      <c r="C206" s="80">
        <v>432</v>
      </c>
      <c r="D206" s="80">
        <v>195774</v>
      </c>
      <c r="E206" s="167">
        <v>13423</v>
      </c>
      <c r="F206" s="73">
        <v>3.8</v>
      </c>
      <c r="G206">
        <v>42</v>
      </c>
      <c r="H206" s="72">
        <f t="shared" si="3"/>
        <v>9.7222222222222224E-2</v>
      </c>
    </row>
    <row r="207" spans="1:8" x14ac:dyDescent="0.25">
      <c r="A207" s="141" t="s">
        <v>2267</v>
      </c>
      <c r="B207" s="80">
        <v>32</v>
      </c>
      <c r="C207" s="80">
        <v>33</v>
      </c>
      <c r="D207" s="80">
        <v>95625</v>
      </c>
      <c r="E207" s="167">
        <v>64363</v>
      </c>
      <c r="F207" s="73">
        <v>5.3</v>
      </c>
      <c r="G207">
        <v>5</v>
      </c>
      <c r="H207" s="72">
        <f t="shared" si="3"/>
        <v>0.15151515151515152</v>
      </c>
    </row>
    <row r="208" spans="1:8" x14ac:dyDescent="0.25">
      <c r="A208" s="141" t="s">
        <v>1694</v>
      </c>
      <c r="B208" s="80">
        <v>213</v>
      </c>
      <c r="C208" s="80">
        <v>94</v>
      </c>
      <c r="D208" s="80">
        <v>63125</v>
      </c>
      <c r="E208" s="167">
        <v>25437</v>
      </c>
      <c r="F208" s="73">
        <v>3.1</v>
      </c>
      <c r="G208">
        <v>28</v>
      </c>
      <c r="H208" s="72">
        <f t="shared" si="3"/>
        <v>0.2978723404255319</v>
      </c>
    </row>
    <row r="209" spans="1:8" x14ac:dyDescent="0.25">
      <c r="A209" s="141" t="s">
        <v>2268</v>
      </c>
      <c r="B209" s="80">
        <v>231</v>
      </c>
      <c r="C209" s="80">
        <v>99</v>
      </c>
      <c r="D209" s="80"/>
      <c r="E209" s="167" t="s">
        <v>0</v>
      </c>
      <c r="F209" s="73">
        <v>4.5999999999999996</v>
      </c>
      <c r="G209">
        <v>103</v>
      </c>
      <c r="H209" s="72">
        <f t="shared" si="3"/>
        <v>1.0404040404040404</v>
      </c>
    </row>
    <row r="210" spans="1:8" x14ac:dyDescent="0.25">
      <c r="A210" s="141" t="s">
        <v>1033</v>
      </c>
      <c r="B210" s="80">
        <v>9229</v>
      </c>
      <c r="C210" s="80">
        <v>4756</v>
      </c>
      <c r="D210" s="80">
        <v>51185</v>
      </c>
      <c r="E210" s="167">
        <v>5467</v>
      </c>
      <c r="F210" s="73">
        <v>3</v>
      </c>
      <c r="G210">
        <v>2368</v>
      </c>
      <c r="H210" s="72">
        <f t="shared" si="3"/>
        <v>0.4978973927670311</v>
      </c>
    </row>
    <row r="211" spans="1:8" x14ac:dyDescent="0.25">
      <c r="A211" s="141" t="s">
        <v>1551</v>
      </c>
      <c r="B211" s="80">
        <v>338</v>
      </c>
      <c r="C211" s="80">
        <v>169</v>
      </c>
      <c r="D211" s="80">
        <v>66875</v>
      </c>
      <c r="E211" s="167">
        <v>25468</v>
      </c>
      <c r="F211" s="73">
        <v>2.4</v>
      </c>
      <c r="G211">
        <v>42</v>
      </c>
      <c r="H211" s="72">
        <f t="shared" si="3"/>
        <v>0.24852071005917159</v>
      </c>
    </row>
    <row r="212" spans="1:8" x14ac:dyDescent="0.25">
      <c r="A212" s="141" t="s">
        <v>2034</v>
      </c>
      <c r="B212" s="80">
        <v>4430</v>
      </c>
      <c r="C212" s="80">
        <v>1955</v>
      </c>
      <c r="D212" s="80">
        <v>68772</v>
      </c>
      <c r="E212" s="167">
        <v>17786</v>
      </c>
      <c r="F212" s="73">
        <v>0</v>
      </c>
      <c r="G212">
        <v>485</v>
      </c>
      <c r="H212" s="72">
        <f t="shared" si="3"/>
        <v>0.24808184143222506</v>
      </c>
    </row>
    <row r="213" spans="1:8" x14ac:dyDescent="0.25">
      <c r="A213" s="141" t="s">
        <v>1035</v>
      </c>
      <c r="B213" s="80">
        <v>2750</v>
      </c>
      <c r="C213" s="80">
        <v>1107</v>
      </c>
      <c r="D213" s="80">
        <v>63708</v>
      </c>
      <c r="E213" s="167">
        <v>3176</v>
      </c>
      <c r="F213" s="73">
        <v>3.4</v>
      </c>
      <c r="G213">
        <v>411</v>
      </c>
      <c r="H213" s="72">
        <f t="shared" si="3"/>
        <v>0.37127371273712739</v>
      </c>
    </row>
    <row r="214" spans="1:8" x14ac:dyDescent="0.25">
      <c r="A214" s="141" t="s">
        <v>2269</v>
      </c>
      <c r="B214" s="80">
        <v>7</v>
      </c>
      <c r="C214" s="80">
        <v>13</v>
      </c>
      <c r="D214" s="80"/>
      <c r="E214" s="167" t="s">
        <v>0</v>
      </c>
      <c r="F214" s="73">
        <v>0</v>
      </c>
      <c r="G214">
        <v>5</v>
      </c>
      <c r="H214" s="72">
        <f t="shared" si="3"/>
        <v>0.38461538461538464</v>
      </c>
    </row>
    <row r="215" spans="1:8" x14ac:dyDescent="0.25">
      <c r="A215" s="141" t="s">
        <v>1499</v>
      </c>
      <c r="B215" s="80">
        <v>250</v>
      </c>
      <c r="C215" s="80">
        <v>146</v>
      </c>
      <c r="D215" s="80">
        <v>71250</v>
      </c>
      <c r="E215" s="167">
        <v>14552</v>
      </c>
      <c r="F215" s="73">
        <v>0</v>
      </c>
      <c r="G215">
        <v>41</v>
      </c>
      <c r="H215" s="72">
        <f t="shared" si="3"/>
        <v>0.28082191780821919</v>
      </c>
    </row>
    <row r="216" spans="1:8" x14ac:dyDescent="0.25">
      <c r="A216" s="141" t="s">
        <v>2270</v>
      </c>
      <c r="B216" s="80">
        <v>14</v>
      </c>
      <c r="C216" s="80">
        <v>15</v>
      </c>
      <c r="D216" s="80">
        <v>82917</v>
      </c>
      <c r="E216" s="167">
        <v>40845</v>
      </c>
      <c r="F216" s="73">
        <v>0</v>
      </c>
      <c r="G216">
        <v>0</v>
      </c>
      <c r="H216" s="72">
        <f t="shared" si="3"/>
        <v>0</v>
      </c>
    </row>
    <row r="217" spans="1:8" x14ac:dyDescent="0.25">
      <c r="A217" s="141" t="s">
        <v>1501</v>
      </c>
      <c r="B217" s="80">
        <v>763</v>
      </c>
      <c r="C217" s="80">
        <v>315</v>
      </c>
      <c r="D217" s="80">
        <v>84375</v>
      </c>
      <c r="E217" s="167">
        <v>22047</v>
      </c>
      <c r="F217" s="73">
        <v>5.4</v>
      </c>
      <c r="G217">
        <v>62</v>
      </c>
      <c r="H217" s="72">
        <f t="shared" si="3"/>
        <v>0.19682539682539682</v>
      </c>
    </row>
    <row r="218" spans="1:8" x14ac:dyDescent="0.25">
      <c r="A218" s="141" t="s">
        <v>1959</v>
      </c>
      <c r="B218" s="80">
        <v>41</v>
      </c>
      <c r="C218" s="80">
        <v>40</v>
      </c>
      <c r="D218" s="80">
        <v>58750</v>
      </c>
      <c r="E218" s="167">
        <v>47039</v>
      </c>
      <c r="F218" s="73">
        <v>0</v>
      </c>
      <c r="G218">
        <v>3</v>
      </c>
      <c r="H218" s="72">
        <f t="shared" si="3"/>
        <v>7.4999999999999997E-2</v>
      </c>
    </row>
    <row r="219" spans="1:8" x14ac:dyDescent="0.25">
      <c r="A219" s="141" t="s">
        <v>57</v>
      </c>
      <c r="B219" s="80">
        <v>256</v>
      </c>
      <c r="C219" s="80">
        <v>121</v>
      </c>
      <c r="D219" s="80">
        <v>70179</v>
      </c>
      <c r="E219" s="167">
        <v>20606</v>
      </c>
      <c r="F219" s="73">
        <v>2.7</v>
      </c>
      <c r="G219">
        <v>58</v>
      </c>
      <c r="H219" s="72">
        <f t="shared" si="3"/>
        <v>0.47933884297520662</v>
      </c>
    </row>
    <row r="220" spans="1:8" x14ac:dyDescent="0.25">
      <c r="A220" s="141" t="s">
        <v>1802</v>
      </c>
      <c r="B220" s="80">
        <v>85852</v>
      </c>
      <c r="C220" s="80">
        <v>38812</v>
      </c>
      <c r="D220" s="80">
        <v>54084</v>
      </c>
      <c r="E220" s="167">
        <v>1736</v>
      </c>
      <c r="F220" s="73">
        <v>5</v>
      </c>
      <c r="G220">
        <v>21285</v>
      </c>
      <c r="H220" s="72">
        <f t="shared" si="3"/>
        <v>0.5484128620014429</v>
      </c>
    </row>
    <row r="221" spans="1:8" x14ac:dyDescent="0.25">
      <c r="A221" s="141" t="s">
        <v>1562</v>
      </c>
      <c r="B221" s="80">
        <v>111</v>
      </c>
      <c r="C221" s="80">
        <v>67</v>
      </c>
      <c r="D221" s="80">
        <v>100625</v>
      </c>
      <c r="E221" s="167">
        <v>93808</v>
      </c>
      <c r="F221" s="73">
        <v>2.2000000000000002</v>
      </c>
      <c r="G221">
        <v>14</v>
      </c>
      <c r="H221" s="72">
        <f t="shared" si="3"/>
        <v>0.20895522388059701</v>
      </c>
    </row>
    <row r="222" spans="1:8" x14ac:dyDescent="0.25">
      <c r="A222" s="141" t="s">
        <v>1697</v>
      </c>
      <c r="B222" s="80">
        <v>1761</v>
      </c>
      <c r="C222" s="80">
        <v>660</v>
      </c>
      <c r="D222" s="80">
        <v>94286</v>
      </c>
      <c r="E222" s="167">
        <v>8618</v>
      </c>
      <c r="F222" s="73">
        <v>12.9</v>
      </c>
      <c r="G222">
        <v>81</v>
      </c>
      <c r="H222" s="72">
        <f t="shared" si="3"/>
        <v>0.12272727272727273</v>
      </c>
    </row>
    <row r="223" spans="1:8" x14ac:dyDescent="0.25">
      <c r="A223" s="141" t="s">
        <v>1963</v>
      </c>
      <c r="B223" s="80">
        <v>72</v>
      </c>
      <c r="C223" s="80">
        <v>55</v>
      </c>
      <c r="D223" s="80">
        <v>41250</v>
      </c>
      <c r="E223" s="167">
        <v>33262</v>
      </c>
      <c r="F223" s="73">
        <v>0</v>
      </c>
      <c r="G223">
        <v>25</v>
      </c>
      <c r="H223" s="72">
        <f t="shared" si="3"/>
        <v>0.45454545454545453</v>
      </c>
    </row>
    <row r="224" spans="1:8" x14ac:dyDescent="0.25">
      <c r="A224" s="141" t="s">
        <v>1568</v>
      </c>
      <c r="B224" s="80">
        <v>211</v>
      </c>
      <c r="C224" s="80">
        <v>142</v>
      </c>
      <c r="D224" s="80">
        <v>24672</v>
      </c>
      <c r="E224" s="167">
        <v>6560</v>
      </c>
      <c r="F224" s="73">
        <v>52.2</v>
      </c>
      <c r="G224">
        <v>64</v>
      </c>
      <c r="H224" s="72">
        <f t="shared" si="3"/>
        <v>0.45070422535211269</v>
      </c>
    </row>
    <row r="225" spans="1:8" x14ac:dyDescent="0.25">
      <c r="A225" s="141" t="s">
        <v>1452</v>
      </c>
      <c r="B225" s="80">
        <v>66377</v>
      </c>
      <c r="C225" s="80">
        <v>27481</v>
      </c>
      <c r="D225" s="80">
        <v>93332</v>
      </c>
      <c r="E225" s="167">
        <v>4299</v>
      </c>
      <c r="F225" s="73">
        <v>4.5</v>
      </c>
      <c r="G225">
        <v>6636</v>
      </c>
      <c r="H225" s="72">
        <f t="shared" si="3"/>
        <v>0.24147592882355082</v>
      </c>
    </row>
    <row r="226" spans="1:8" x14ac:dyDescent="0.25">
      <c r="A226" s="141" t="s">
        <v>1599</v>
      </c>
      <c r="B226" s="80">
        <v>641</v>
      </c>
      <c r="C226" s="80">
        <v>332</v>
      </c>
      <c r="D226" s="80">
        <v>40385</v>
      </c>
      <c r="E226" s="167">
        <v>6085</v>
      </c>
      <c r="F226" s="73">
        <v>1.1000000000000001</v>
      </c>
      <c r="G226">
        <v>242</v>
      </c>
      <c r="H226" s="72">
        <f t="shared" si="3"/>
        <v>0.72891566265060237</v>
      </c>
    </row>
    <row r="227" spans="1:8" x14ac:dyDescent="0.25">
      <c r="A227" s="141" t="s">
        <v>1586</v>
      </c>
      <c r="B227" s="80">
        <v>3064</v>
      </c>
      <c r="C227" s="80">
        <v>1168</v>
      </c>
      <c r="D227" s="80">
        <v>75610</v>
      </c>
      <c r="E227" s="167">
        <v>5033</v>
      </c>
      <c r="F227" s="73">
        <v>5.5</v>
      </c>
      <c r="G227">
        <v>436</v>
      </c>
      <c r="H227" s="72">
        <f t="shared" si="3"/>
        <v>0.37328767123287671</v>
      </c>
    </row>
    <row r="228" spans="1:8" x14ac:dyDescent="0.25">
      <c r="A228" s="141" t="s">
        <v>1887</v>
      </c>
      <c r="B228" s="80">
        <v>11958</v>
      </c>
      <c r="C228" s="80">
        <v>4640</v>
      </c>
      <c r="D228" s="80">
        <v>90809</v>
      </c>
      <c r="E228" s="167">
        <v>7968</v>
      </c>
      <c r="F228" s="73">
        <v>3.4</v>
      </c>
      <c r="G228">
        <v>665</v>
      </c>
      <c r="H228" s="72">
        <f t="shared" si="3"/>
        <v>0.14331896551724138</v>
      </c>
    </row>
    <row r="229" spans="1:8" x14ac:dyDescent="0.25">
      <c r="A229" s="141" t="s">
        <v>1713</v>
      </c>
      <c r="B229" s="80">
        <v>8555</v>
      </c>
      <c r="C229" s="80">
        <v>3721</v>
      </c>
      <c r="D229" s="80">
        <v>58438</v>
      </c>
      <c r="E229" s="167">
        <v>11733</v>
      </c>
      <c r="F229" s="73">
        <v>3</v>
      </c>
      <c r="G229">
        <v>2117</v>
      </c>
      <c r="H229" s="72">
        <f t="shared" si="3"/>
        <v>0.56893308250470309</v>
      </c>
    </row>
    <row r="230" spans="1:8" x14ac:dyDescent="0.25">
      <c r="A230" s="141" t="s">
        <v>2271</v>
      </c>
      <c r="B230" s="80">
        <v>906</v>
      </c>
      <c r="C230" s="80">
        <v>773</v>
      </c>
      <c r="D230" s="80">
        <v>89545</v>
      </c>
      <c r="E230" s="167">
        <v>17003</v>
      </c>
      <c r="F230" s="73">
        <v>0.6</v>
      </c>
      <c r="G230">
        <v>75</v>
      </c>
      <c r="H230" s="72">
        <f t="shared" si="3"/>
        <v>9.7024579560155241E-2</v>
      </c>
    </row>
    <row r="231" spans="1:8" x14ac:dyDescent="0.25">
      <c r="A231" s="141" t="s">
        <v>1249</v>
      </c>
      <c r="B231" s="80">
        <v>193</v>
      </c>
      <c r="C231" s="80">
        <v>94</v>
      </c>
      <c r="D231" s="80">
        <v>73125</v>
      </c>
      <c r="E231" s="167">
        <v>9021</v>
      </c>
      <c r="F231" s="73">
        <v>3.6</v>
      </c>
      <c r="G231">
        <v>5</v>
      </c>
      <c r="H231" s="72">
        <f t="shared" si="3"/>
        <v>5.3191489361702128E-2</v>
      </c>
    </row>
    <row r="232" spans="1:8" x14ac:dyDescent="0.25">
      <c r="A232" s="141" t="s">
        <v>56</v>
      </c>
      <c r="B232" s="80">
        <v>75</v>
      </c>
      <c r="C232" s="80">
        <v>28</v>
      </c>
      <c r="D232" s="80">
        <v>24583</v>
      </c>
      <c r="E232" s="167">
        <v>14918</v>
      </c>
      <c r="F232" s="73">
        <v>4.2</v>
      </c>
      <c r="G232">
        <v>34</v>
      </c>
      <c r="H232" s="72">
        <f t="shared" si="3"/>
        <v>1.2142857142857142</v>
      </c>
    </row>
    <row r="233" spans="1:8" x14ac:dyDescent="0.25">
      <c r="A233" s="141" t="s">
        <v>1942</v>
      </c>
      <c r="B233" s="80">
        <v>275</v>
      </c>
      <c r="C233" s="80">
        <v>137</v>
      </c>
      <c r="D233" s="80">
        <v>40625</v>
      </c>
      <c r="E233" s="167">
        <v>10262</v>
      </c>
      <c r="F233" s="73">
        <v>2.2000000000000002</v>
      </c>
      <c r="G233">
        <v>95</v>
      </c>
      <c r="H233" s="72">
        <f t="shared" si="3"/>
        <v>0.69343065693430661</v>
      </c>
    </row>
    <row r="234" spans="1:8" x14ac:dyDescent="0.25">
      <c r="A234" s="141" t="s">
        <v>1855</v>
      </c>
      <c r="B234" s="80">
        <v>64481</v>
      </c>
      <c r="C234" s="80">
        <v>25446</v>
      </c>
      <c r="D234" s="80">
        <v>115227</v>
      </c>
      <c r="E234" s="167">
        <v>2973</v>
      </c>
      <c r="F234" s="73">
        <v>2.9</v>
      </c>
      <c r="G234">
        <v>4694</v>
      </c>
      <c r="H234" s="72">
        <f t="shared" si="3"/>
        <v>0.18446907175980506</v>
      </c>
    </row>
    <row r="235" spans="1:8" x14ac:dyDescent="0.25">
      <c r="A235" s="141" t="s">
        <v>1679</v>
      </c>
      <c r="B235" s="80">
        <v>1017</v>
      </c>
      <c r="C235" s="80">
        <v>436</v>
      </c>
      <c r="D235" s="80">
        <v>45938</v>
      </c>
      <c r="E235" s="167">
        <v>6415</v>
      </c>
      <c r="F235" s="73">
        <v>2.4</v>
      </c>
      <c r="G235">
        <v>251</v>
      </c>
      <c r="H235" s="72">
        <f t="shared" si="3"/>
        <v>0.57568807339449546</v>
      </c>
    </row>
    <row r="236" spans="1:8" x14ac:dyDescent="0.25">
      <c r="A236" s="141" t="s">
        <v>1039</v>
      </c>
      <c r="B236" s="80">
        <v>1257</v>
      </c>
      <c r="C236" s="80">
        <v>558</v>
      </c>
      <c r="D236" s="80">
        <v>55294</v>
      </c>
      <c r="E236" s="167">
        <v>11785</v>
      </c>
      <c r="F236" s="73">
        <v>2.1</v>
      </c>
      <c r="G236">
        <v>239</v>
      </c>
      <c r="H236" s="72">
        <f t="shared" si="3"/>
        <v>0.42831541218637992</v>
      </c>
    </row>
    <row r="237" spans="1:8" x14ac:dyDescent="0.25">
      <c r="A237" s="141" t="s">
        <v>1455</v>
      </c>
      <c r="B237" s="80">
        <v>52215</v>
      </c>
      <c r="C237" s="80">
        <v>23621</v>
      </c>
      <c r="D237" s="80">
        <v>108576</v>
      </c>
      <c r="E237" s="167">
        <v>5881</v>
      </c>
      <c r="F237" s="73">
        <v>3.3</v>
      </c>
      <c r="G237">
        <v>3951</v>
      </c>
      <c r="H237" s="72">
        <f t="shared" si="3"/>
        <v>0.16726641547775284</v>
      </c>
    </row>
    <row r="238" spans="1:8" x14ac:dyDescent="0.25">
      <c r="A238" s="141" t="s">
        <v>2272</v>
      </c>
      <c r="B238" s="80">
        <v>121</v>
      </c>
      <c r="C238" s="80">
        <v>77</v>
      </c>
      <c r="D238" s="80"/>
      <c r="E238" s="167" t="s">
        <v>0</v>
      </c>
      <c r="F238" s="73">
        <v>0</v>
      </c>
      <c r="G238">
        <v>40</v>
      </c>
      <c r="H238" s="72">
        <f t="shared" si="3"/>
        <v>0.51948051948051943</v>
      </c>
    </row>
    <row r="239" spans="1:8" x14ac:dyDescent="0.25">
      <c r="A239" s="141" t="s">
        <v>1549</v>
      </c>
      <c r="B239" s="80">
        <v>279</v>
      </c>
      <c r="C239" s="80">
        <v>127</v>
      </c>
      <c r="D239" s="80">
        <v>42143</v>
      </c>
      <c r="E239" s="167">
        <v>10943</v>
      </c>
      <c r="F239" s="73">
        <v>4.0999999999999996</v>
      </c>
      <c r="G239">
        <v>56</v>
      </c>
      <c r="H239" s="72">
        <f t="shared" si="3"/>
        <v>0.44094488188976377</v>
      </c>
    </row>
    <row r="240" spans="1:8" x14ac:dyDescent="0.25">
      <c r="A240" s="141" t="s">
        <v>1509</v>
      </c>
      <c r="B240" s="80">
        <v>70</v>
      </c>
      <c r="C240" s="80">
        <v>45</v>
      </c>
      <c r="D240" s="80">
        <v>43438</v>
      </c>
      <c r="E240" s="167">
        <v>15876</v>
      </c>
      <c r="F240" s="73">
        <v>0</v>
      </c>
      <c r="G240">
        <v>5</v>
      </c>
      <c r="H240" s="72">
        <f t="shared" si="3"/>
        <v>0.1111111111111111</v>
      </c>
    </row>
    <row r="241" spans="1:8" x14ac:dyDescent="0.25">
      <c r="A241" s="141" t="s">
        <v>55</v>
      </c>
      <c r="B241" s="80">
        <v>96</v>
      </c>
      <c r="C241" s="80">
        <v>66</v>
      </c>
      <c r="D241" s="80">
        <v>25417</v>
      </c>
      <c r="E241" s="167">
        <v>19022</v>
      </c>
      <c r="F241" s="73">
        <v>16.7</v>
      </c>
      <c r="G241">
        <v>64</v>
      </c>
      <c r="H241" s="72">
        <f t="shared" si="3"/>
        <v>0.96969696969696972</v>
      </c>
    </row>
    <row r="242" spans="1:8" x14ac:dyDescent="0.25">
      <c r="A242" s="141" t="s">
        <v>1490</v>
      </c>
      <c r="B242" s="80">
        <v>1166</v>
      </c>
      <c r="C242" s="80">
        <v>590</v>
      </c>
      <c r="D242" s="80">
        <v>53333</v>
      </c>
      <c r="E242" s="167">
        <v>8861</v>
      </c>
      <c r="F242" s="73">
        <v>4.2</v>
      </c>
      <c r="G242">
        <v>280</v>
      </c>
      <c r="H242" s="72">
        <f t="shared" si="3"/>
        <v>0.47457627118644069</v>
      </c>
    </row>
    <row r="243" spans="1:8" x14ac:dyDescent="0.25">
      <c r="A243" s="141" t="s">
        <v>1180</v>
      </c>
      <c r="B243" s="80">
        <v>1189</v>
      </c>
      <c r="C243" s="80">
        <v>464</v>
      </c>
      <c r="D243" s="80">
        <v>69167</v>
      </c>
      <c r="E243" s="167">
        <v>20118</v>
      </c>
      <c r="F243" s="73">
        <v>3.4</v>
      </c>
      <c r="G243">
        <v>65</v>
      </c>
      <c r="H243" s="72">
        <f t="shared" si="3"/>
        <v>0.14008620689655171</v>
      </c>
    </row>
    <row r="244" spans="1:8" x14ac:dyDescent="0.25">
      <c r="A244" s="141" t="s">
        <v>1862</v>
      </c>
      <c r="B244" s="80">
        <v>108</v>
      </c>
      <c r="C244" s="80">
        <v>64</v>
      </c>
      <c r="D244" s="80">
        <v>62750</v>
      </c>
      <c r="E244" s="167">
        <v>7145</v>
      </c>
      <c r="F244" s="73">
        <v>3.9</v>
      </c>
      <c r="G244">
        <v>19</v>
      </c>
      <c r="H244" s="72">
        <f t="shared" si="3"/>
        <v>0.296875</v>
      </c>
    </row>
    <row r="245" spans="1:8" x14ac:dyDescent="0.25">
      <c r="A245" s="141" t="s">
        <v>1835</v>
      </c>
      <c r="B245" s="80">
        <v>4715</v>
      </c>
      <c r="C245" s="80">
        <v>1502</v>
      </c>
      <c r="D245" s="80">
        <v>133333</v>
      </c>
      <c r="E245" s="167">
        <v>12013</v>
      </c>
      <c r="F245" s="73">
        <v>0.8</v>
      </c>
      <c r="G245">
        <v>21</v>
      </c>
      <c r="H245" s="72">
        <f t="shared" si="3"/>
        <v>1.3981358189081226E-2</v>
      </c>
    </row>
    <row r="246" spans="1:8" x14ac:dyDescent="0.25">
      <c r="A246" s="141" t="s">
        <v>1625</v>
      </c>
      <c r="B246" s="80">
        <v>24894</v>
      </c>
      <c r="C246" s="80">
        <v>8889</v>
      </c>
      <c r="D246" s="80">
        <v>87755</v>
      </c>
      <c r="E246" s="167">
        <v>12122</v>
      </c>
      <c r="F246" s="73">
        <v>2.6</v>
      </c>
      <c r="G246">
        <v>2143</v>
      </c>
      <c r="H246" s="72">
        <f t="shared" si="3"/>
        <v>0.24108448644391944</v>
      </c>
    </row>
    <row r="247" spans="1:8" x14ac:dyDescent="0.25">
      <c r="A247" s="141" t="s">
        <v>1740</v>
      </c>
      <c r="B247" s="80">
        <v>135</v>
      </c>
      <c r="C247" s="80">
        <v>71</v>
      </c>
      <c r="D247" s="80">
        <v>44375</v>
      </c>
      <c r="E247" s="167">
        <v>2444</v>
      </c>
      <c r="F247" s="73">
        <v>1.4</v>
      </c>
      <c r="G247">
        <v>29</v>
      </c>
      <c r="H247" s="72">
        <f t="shared" si="3"/>
        <v>0.40845070422535212</v>
      </c>
    </row>
    <row r="248" spans="1:8" x14ac:dyDescent="0.25">
      <c r="A248" s="141" t="s">
        <v>1917</v>
      </c>
      <c r="B248" s="80">
        <v>760</v>
      </c>
      <c r="C248" s="80">
        <v>352</v>
      </c>
      <c r="D248" s="80">
        <v>54659</v>
      </c>
      <c r="E248" s="167">
        <v>6221</v>
      </c>
      <c r="F248" s="73">
        <v>3.2</v>
      </c>
      <c r="G248">
        <v>162</v>
      </c>
      <c r="H248" s="72">
        <f t="shared" si="3"/>
        <v>0.46022727272727271</v>
      </c>
    </row>
    <row r="249" spans="1:8" x14ac:dyDescent="0.25">
      <c r="A249" s="141" t="s">
        <v>1041</v>
      </c>
      <c r="B249" s="80">
        <v>522</v>
      </c>
      <c r="C249" s="80">
        <v>218</v>
      </c>
      <c r="D249" s="80">
        <v>47500</v>
      </c>
      <c r="E249" s="167">
        <v>12850</v>
      </c>
      <c r="F249" s="73">
        <v>2.2000000000000002</v>
      </c>
      <c r="G249">
        <v>71</v>
      </c>
      <c r="H249" s="72">
        <f t="shared" si="3"/>
        <v>0.3256880733944954</v>
      </c>
    </row>
    <row r="250" spans="1:8" x14ac:dyDescent="0.25">
      <c r="A250" s="141" t="s">
        <v>2273</v>
      </c>
      <c r="B250" s="80">
        <v>158</v>
      </c>
      <c r="C250" s="80">
        <v>61</v>
      </c>
      <c r="D250" s="80">
        <v>97000</v>
      </c>
      <c r="E250" s="167">
        <v>38226</v>
      </c>
      <c r="F250" s="73">
        <v>0.8</v>
      </c>
      <c r="G250">
        <v>8</v>
      </c>
      <c r="H250" s="72">
        <f t="shared" si="3"/>
        <v>0.13114754098360656</v>
      </c>
    </row>
    <row r="251" spans="1:8" x14ac:dyDescent="0.25">
      <c r="A251" s="141" t="s">
        <v>1700</v>
      </c>
      <c r="B251" s="80">
        <v>385</v>
      </c>
      <c r="C251" s="80">
        <v>266</v>
      </c>
      <c r="D251" s="80">
        <v>38571</v>
      </c>
      <c r="E251" s="167">
        <v>8521</v>
      </c>
      <c r="F251" s="73">
        <v>5.7</v>
      </c>
      <c r="G251">
        <v>103</v>
      </c>
      <c r="H251" s="72">
        <f t="shared" si="3"/>
        <v>0.38721804511278196</v>
      </c>
    </row>
    <row r="252" spans="1:8" x14ac:dyDescent="0.25">
      <c r="A252" s="141" t="s">
        <v>2274</v>
      </c>
      <c r="B252" s="80">
        <v>200</v>
      </c>
      <c r="C252" s="80">
        <v>88</v>
      </c>
      <c r="D252" s="80">
        <v>38750</v>
      </c>
      <c r="E252" s="167">
        <v>20322</v>
      </c>
      <c r="F252" s="73">
        <v>0</v>
      </c>
      <c r="G252">
        <v>27</v>
      </c>
      <c r="H252" s="72">
        <f t="shared" si="3"/>
        <v>0.30681818181818182</v>
      </c>
    </row>
    <row r="253" spans="1:8" x14ac:dyDescent="0.25">
      <c r="A253" s="141" t="s">
        <v>1803</v>
      </c>
      <c r="B253" s="80">
        <v>3338</v>
      </c>
      <c r="C253" s="80">
        <v>2098</v>
      </c>
      <c r="D253" s="80">
        <v>37317</v>
      </c>
      <c r="E253" s="167">
        <v>6851</v>
      </c>
      <c r="F253" s="73">
        <v>4</v>
      </c>
      <c r="G253">
        <v>696</v>
      </c>
      <c r="H253" s="72">
        <f t="shared" si="3"/>
        <v>0.33174451858913251</v>
      </c>
    </row>
    <row r="254" spans="1:8" x14ac:dyDescent="0.25">
      <c r="A254" s="141" t="s">
        <v>1043</v>
      </c>
      <c r="B254" s="80">
        <v>703</v>
      </c>
      <c r="C254" s="80">
        <v>425</v>
      </c>
      <c r="D254" s="80">
        <v>75417</v>
      </c>
      <c r="E254" s="167">
        <v>12025</v>
      </c>
      <c r="F254" s="73">
        <v>2.4</v>
      </c>
      <c r="G254">
        <v>74</v>
      </c>
      <c r="H254" s="72">
        <f t="shared" si="3"/>
        <v>0.17411764705882352</v>
      </c>
    </row>
    <row r="255" spans="1:8" x14ac:dyDescent="0.25">
      <c r="A255" s="141" t="s">
        <v>2275</v>
      </c>
      <c r="B255" s="80">
        <v>539</v>
      </c>
      <c r="C255" s="80">
        <v>992</v>
      </c>
      <c r="D255" s="80">
        <v>43542</v>
      </c>
      <c r="E255" s="167">
        <v>10442</v>
      </c>
      <c r="F255" s="73">
        <v>1.7</v>
      </c>
      <c r="G255">
        <v>108</v>
      </c>
      <c r="H255" s="72">
        <f t="shared" si="3"/>
        <v>0.10887096774193548</v>
      </c>
    </row>
    <row r="256" spans="1:8" x14ac:dyDescent="0.25">
      <c r="A256" s="141" t="s">
        <v>1045</v>
      </c>
      <c r="B256" s="80">
        <v>337</v>
      </c>
      <c r="C256" s="80">
        <v>180</v>
      </c>
      <c r="D256" s="80">
        <v>50938</v>
      </c>
      <c r="E256" s="167">
        <v>7654</v>
      </c>
      <c r="F256" s="73">
        <v>1.8</v>
      </c>
      <c r="G256">
        <v>41</v>
      </c>
      <c r="H256" s="72">
        <f t="shared" si="3"/>
        <v>0.22777777777777777</v>
      </c>
    </row>
    <row r="257" spans="1:8" x14ac:dyDescent="0.25">
      <c r="A257" s="141" t="s">
        <v>2276</v>
      </c>
      <c r="B257" s="80">
        <v>166</v>
      </c>
      <c r="C257" s="80">
        <v>58</v>
      </c>
      <c r="D257" s="80">
        <v>57500</v>
      </c>
      <c r="E257" s="167">
        <v>43236</v>
      </c>
      <c r="F257" s="73">
        <v>1.2</v>
      </c>
      <c r="G257">
        <v>38</v>
      </c>
      <c r="H257" s="72">
        <f t="shared" si="3"/>
        <v>0.65517241379310343</v>
      </c>
    </row>
    <row r="258" spans="1:8" x14ac:dyDescent="0.25">
      <c r="A258" s="141" t="s">
        <v>1892</v>
      </c>
      <c r="B258" s="80">
        <v>450</v>
      </c>
      <c r="C258" s="80">
        <v>241</v>
      </c>
      <c r="D258" s="80">
        <v>33403</v>
      </c>
      <c r="E258" s="167">
        <v>5839</v>
      </c>
      <c r="F258" s="73">
        <v>0</v>
      </c>
      <c r="G258">
        <v>123</v>
      </c>
      <c r="H258" s="72">
        <f t="shared" ref="H258:H321" si="4">G258/C258</f>
        <v>0.51037344398340245</v>
      </c>
    </row>
    <row r="259" spans="1:8" x14ac:dyDescent="0.25">
      <c r="A259" s="141" t="s">
        <v>54</v>
      </c>
      <c r="B259" s="80">
        <v>2222</v>
      </c>
      <c r="C259" s="80">
        <v>952</v>
      </c>
      <c r="D259" s="80">
        <v>92708</v>
      </c>
      <c r="E259" s="167">
        <v>21774</v>
      </c>
      <c r="F259" s="73">
        <v>0.6</v>
      </c>
      <c r="G259">
        <v>32</v>
      </c>
      <c r="H259" s="72">
        <f t="shared" si="4"/>
        <v>3.3613445378151259E-2</v>
      </c>
    </row>
    <row r="260" spans="1:8" x14ac:dyDescent="0.25">
      <c r="A260" s="141" t="s">
        <v>53</v>
      </c>
      <c r="B260" s="80">
        <v>56</v>
      </c>
      <c r="C260" s="80">
        <v>22</v>
      </c>
      <c r="D260" s="80"/>
      <c r="E260" s="167" t="s">
        <v>0</v>
      </c>
      <c r="F260" s="73">
        <v>0</v>
      </c>
      <c r="G260">
        <v>17</v>
      </c>
      <c r="H260" s="72">
        <f t="shared" si="4"/>
        <v>0.77272727272727271</v>
      </c>
    </row>
    <row r="261" spans="1:8" x14ac:dyDescent="0.25">
      <c r="A261" s="141" t="s">
        <v>1982</v>
      </c>
      <c r="B261" s="80">
        <v>70</v>
      </c>
      <c r="C261" s="80">
        <v>38</v>
      </c>
      <c r="D261" s="80">
        <v>41250</v>
      </c>
      <c r="E261" s="167">
        <v>14760</v>
      </c>
      <c r="F261" s="73">
        <v>8.5</v>
      </c>
      <c r="G261">
        <v>16</v>
      </c>
      <c r="H261" s="72">
        <f t="shared" si="4"/>
        <v>0.42105263157894735</v>
      </c>
    </row>
    <row r="262" spans="1:8" x14ac:dyDescent="0.25">
      <c r="A262" s="141" t="s">
        <v>1488</v>
      </c>
      <c r="B262" s="80">
        <v>632</v>
      </c>
      <c r="C262" s="80">
        <v>339</v>
      </c>
      <c r="D262" s="80">
        <v>39091</v>
      </c>
      <c r="E262" s="167">
        <v>18831</v>
      </c>
      <c r="F262" s="73">
        <v>1.1000000000000001</v>
      </c>
      <c r="G262">
        <v>200</v>
      </c>
      <c r="H262" s="72">
        <f t="shared" si="4"/>
        <v>0.58997050147492625</v>
      </c>
    </row>
    <row r="263" spans="1:8" x14ac:dyDescent="0.25">
      <c r="A263" s="141" t="s">
        <v>1047</v>
      </c>
      <c r="B263" s="80">
        <v>3592</v>
      </c>
      <c r="C263" s="80">
        <v>1997</v>
      </c>
      <c r="D263" s="80">
        <v>44559</v>
      </c>
      <c r="E263" s="167">
        <v>12315</v>
      </c>
      <c r="F263" s="73">
        <v>2.5</v>
      </c>
      <c r="G263">
        <v>1210</v>
      </c>
      <c r="H263" s="72">
        <f t="shared" si="4"/>
        <v>0.60590886329494242</v>
      </c>
    </row>
    <row r="264" spans="1:8" x14ac:dyDescent="0.25">
      <c r="A264" s="141" t="s">
        <v>1049</v>
      </c>
      <c r="B264" s="80">
        <v>2414</v>
      </c>
      <c r="C264" s="80">
        <v>1196</v>
      </c>
      <c r="D264" s="80">
        <v>80750</v>
      </c>
      <c r="E264" s="167">
        <v>22502</v>
      </c>
      <c r="F264" s="73">
        <v>2.6</v>
      </c>
      <c r="G264">
        <v>309</v>
      </c>
      <c r="H264" s="72">
        <f t="shared" si="4"/>
        <v>0.25836120401337792</v>
      </c>
    </row>
    <row r="265" spans="1:8" x14ac:dyDescent="0.25">
      <c r="A265" s="141" t="s">
        <v>1502</v>
      </c>
      <c r="B265" s="80">
        <v>2183</v>
      </c>
      <c r="C265" s="80">
        <v>893</v>
      </c>
      <c r="D265" s="80">
        <v>64716</v>
      </c>
      <c r="E265" s="167">
        <v>11309</v>
      </c>
      <c r="F265" s="73">
        <v>0.6</v>
      </c>
      <c r="G265">
        <v>264</v>
      </c>
      <c r="H265" s="72">
        <f t="shared" si="4"/>
        <v>0.29563269876819709</v>
      </c>
    </row>
    <row r="266" spans="1:8" x14ac:dyDescent="0.25">
      <c r="A266" s="141" t="s">
        <v>1531</v>
      </c>
      <c r="B266" s="80">
        <v>1135</v>
      </c>
      <c r="C266" s="80">
        <v>493</v>
      </c>
      <c r="D266" s="80">
        <v>57750</v>
      </c>
      <c r="E266" s="167">
        <v>13006</v>
      </c>
      <c r="F266" s="73">
        <v>3.3</v>
      </c>
      <c r="G266">
        <v>213</v>
      </c>
      <c r="H266" s="72">
        <f t="shared" si="4"/>
        <v>0.43204868154158216</v>
      </c>
    </row>
    <row r="267" spans="1:8" x14ac:dyDescent="0.25">
      <c r="A267" s="141" t="s">
        <v>52</v>
      </c>
      <c r="B267" s="80">
        <v>397</v>
      </c>
      <c r="C267" s="80">
        <v>181</v>
      </c>
      <c r="D267" s="80">
        <v>65750</v>
      </c>
      <c r="E267" s="167">
        <v>17457</v>
      </c>
      <c r="F267" s="73">
        <v>3</v>
      </c>
      <c r="G267">
        <v>82</v>
      </c>
      <c r="H267" s="72">
        <f t="shared" si="4"/>
        <v>0.45303867403314918</v>
      </c>
    </row>
    <row r="268" spans="1:8" x14ac:dyDescent="0.25">
      <c r="A268" s="141" t="s">
        <v>1051</v>
      </c>
      <c r="B268" s="80">
        <v>10042</v>
      </c>
      <c r="C268" s="80">
        <v>5102</v>
      </c>
      <c r="D268" s="80">
        <v>49402</v>
      </c>
      <c r="E268" s="167">
        <v>3025</v>
      </c>
      <c r="F268" s="73">
        <v>5.2</v>
      </c>
      <c r="G268">
        <v>2433</v>
      </c>
      <c r="H268" s="72">
        <f t="shared" si="4"/>
        <v>0.4768718149745198</v>
      </c>
    </row>
    <row r="269" spans="1:8" x14ac:dyDescent="0.25">
      <c r="A269" s="141" t="s">
        <v>2277</v>
      </c>
      <c r="B269" s="80">
        <v>5586</v>
      </c>
      <c r="C269" s="80">
        <v>2202</v>
      </c>
      <c r="D269" s="80">
        <v>72616</v>
      </c>
      <c r="E269" s="167">
        <v>13619</v>
      </c>
      <c r="F269" s="73">
        <v>7.8</v>
      </c>
      <c r="G269">
        <v>808</v>
      </c>
      <c r="H269" s="72">
        <f t="shared" si="4"/>
        <v>0.36693914623069934</v>
      </c>
    </row>
    <row r="270" spans="1:8" x14ac:dyDescent="0.25">
      <c r="A270" s="141" t="s">
        <v>1053</v>
      </c>
      <c r="B270" s="80">
        <v>23853</v>
      </c>
      <c r="C270" s="80">
        <v>9207</v>
      </c>
      <c r="D270" s="80">
        <v>54832</v>
      </c>
      <c r="E270" s="167">
        <v>8608</v>
      </c>
      <c r="F270" s="73">
        <v>6.7</v>
      </c>
      <c r="G270">
        <v>6193</v>
      </c>
      <c r="H270" s="72">
        <f t="shared" si="4"/>
        <v>0.67264038231780165</v>
      </c>
    </row>
    <row r="271" spans="1:8" x14ac:dyDescent="0.25">
      <c r="A271" s="141" t="s">
        <v>1649</v>
      </c>
      <c r="B271" s="80">
        <v>22996</v>
      </c>
      <c r="C271" s="80">
        <v>8068</v>
      </c>
      <c r="D271" s="80">
        <v>95326</v>
      </c>
      <c r="E271" s="167">
        <v>6400</v>
      </c>
      <c r="F271" s="73">
        <v>2.4</v>
      </c>
      <c r="G271">
        <v>1274</v>
      </c>
      <c r="H271" s="72">
        <f t="shared" si="4"/>
        <v>0.15790778383738224</v>
      </c>
    </row>
    <row r="272" spans="1:8" x14ac:dyDescent="0.25">
      <c r="A272" s="141" t="s">
        <v>2278</v>
      </c>
      <c r="B272" s="80">
        <v>26</v>
      </c>
      <c r="C272" s="80">
        <v>12</v>
      </c>
      <c r="D272" s="80">
        <v>35000</v>
      </c>
      <c r="E272" s="167">
        <v>18688</v>
      </c>
      <c r="F272" s="73">
        <v>11.1</v>
      </c>
      <c r="G272">
        <v>10</v>
      </c>
      <c r="H272" s="72">
        <f t="shared" si="4"/>
        <v>0.83333333333333337</v>
      </c>
    </row>
    <row r="273" spans="1:8" x14ac:dyDescent="0.25">
      <c r="A273" s="141" t="s">
        <v>2279</v>
      </c>
      <c r="B273" s="80">
        <v>122</v>
      </c>
      <c r="C273" s="80">
        <v>178</v>
      </c>
      <c r="D273" s="80">
        <v>51570</v>
      </c>
      <c r="E273" s="167">
        <v>400</v>
      </c>
      <c r="F273" s="73">
        <v>6.7</v>
      </c>
      <c r="G273">
        <v>6</v>
      </c>
      <c r="H273" s="72">
        <f t="shared" si="4"/>
        <v>3.3707865168539325E-2</v>
      </c>
    </row>
    <row r="274" spans="1:8" x14ac:dyDescent="0.25">
      <c r="A274" s="141" t="s">
        <v>1613</v>
      </c>
      <c r="B274" s="80">
        <v>123</v>
      </c>
      <c r="C274" s="80">
        <v>71</v>
      </c>
      <c r="D274" s="80">
        <v>52292</v>
      </c>
      <c r="E274" s="167">
        <v>19644</v>
      </c>
      <c r="F274" s="73">
        <v>9</v>
      </c>
      <c r="G274">
        <v>20</v>
      </c>
      <c r="H274" s="72">
        <f t="shared" si="4"/>
        <v>0.28169014084507044</v>
      </c>
    </row>
    <row r="275" spans="1:8" x14ac:dyDescent="0.25">
      <c r="A275" s="141" t="s">
        <v>1055</v>
      </c>
      <c r="B275" s="80">
        <v>13754</v>
      </c>
      <c r="C275" s="80">
        <v>6994</v>
      </c>
      <c r="D275" s="80">
        <v>42659</v>
      </c>
      <c r="E275" s="167">
        <v>5683</v>
      </c>
      <c r="F275" s="73">
        <v>4.3</v>
      </c>
      <c r="G275">
        <v>3063</v>
      </c>
      <c r="H275" s="72">
        <f t="shared" si="4"/>
        <v>0.4379468115527595</v>
      </c>
    </row>
    <row r="276" spans="1:8" x14ac:dyDescent="0.25">
      <c r="A276" s="141" t="s">
        <v>1644</v>
      </c>
      <c r="B276" s="80">
        <v>931</v>
      </c>
      <c r="C276" s="80">
        <v>415</v>
      </c>
      <c r="D276" s="80">
        <v>48864</v>
      </c>
      <c r="E276" s="167">
        <v>9593</v>
      </c>
      <c r="F276" s="73">
        <v>5.9</v>
      </c>
      <c r="G276">
        <v>194</v>
      </c>
      <c r="H276" s="72">
        <f t="shared" si="4"/>
        <v>0.46746987951807228</v>
      </c>
    </row>
    <row r="277" spans="1:8" x14ac:dyDescent="0.25">
      <c r="A277" s="141" t="s">
        <v>2280</v>
      </c>
      <c r="B277" s="80">
        <v>399</v>
      </c>
      <c r="C277" s="80">
        <v>670</v>
      </c>
      <c r="D277" s="80">
        <v>56563</v>
      </c>
      <c r="E277" s="167">
        <v>21678</v>
      </c>
      <c r="F277" s="73">
        <v>5.2</v>
      </c>
      <c r="G277">
        <v>76</v>
      </c>
      <c r="H277" s="72">
        <f t="shared" si="4"/>
        <v>0.11343283582089553</v>
      </c>
    </row>
    <row r="278" spans="1:8" x14ac:dyDescent="0.25">
      <c r="A278" s="141" t="s">
        <v>51</v>
      </c>
      <c r="B278" s="80">
        <v>208</v>
      </c>
      <c r="C278" s="80">
        <v>191</v>
      </c>
      <c r="D278" s="80">
        <v>46250</v>
      </c>
      <c r="E278" s="167">
        <v>11314</v>
      </c>
      <c r="F278" s="73">
        <v>2.4</v>
      </c>
      <c r="G278">
        <v>49</v>
      </c>
      <c r="H278" s="72">
        <f t="shared" si="4"/>
        <v>0.25654450261780104</v>
      </c>
    </row>
    <row r="279" spans="1:8" x14ac:dyDescent="0.25">
      <c r="A279" s="141" t="s">
        <v>1796</v>
      </c>
      <c r="B279" s="80">
        <v>225</v>
      </c>
      <c r="C279" s="80">
        <v>131</v>
      </c>
      <c r="D279" s="80">
        <v>44063</v>
      </c>
      <c r="E279" s="167">
        <v>11292</v>
      </c>
      <c r="F279" s="73">
        <v>2.2999999999999998</v>
      </c>
      <c r="G279">
        <v>66</v>
      </c>
      <c r="H279" s="72">
        <f t="shared" si="4"/>
        <v>0.50381679389312972</v>
      </c>
    </row>
    <row r="280" spans="1:8" x14ac:dyDescent="0.25">
      <c r="A280" s="141" t="s">
        <v>1941</v>
      </c>
      <c r="B280" s="80">
        <v>517</v>
      </c>
      <c r="C280" s="80">
        <v>203</v>
      </c>
      <c r="D280" s="80">
        <v>75000</v>
      </c>
      <c r="E280" s="167">
        <v>11514</v>
      </c>
      <c r="F280" s="73">
        <v>0</v>
      </c>
      <c r="G280">
        <v>51</v>
      </c>
      <c r="H280" s="72">
        <f t="shared" si="4"/>
        <v>0.25123152709359609</v>
      </c>
    </row>
    <row r="281" spans="1:8" x14ac:dyDescent="0.25">
      <c r="A281" s="141" t="s">
        <v>50</v>
      </c>
      <c r="B281" s="80">
        <v>55</v>
      </c>
      <c r="C281" s="80">
        <v>85</v>
      </c>
      <c r="D281" s="80">
        <v>76875</v>
      </c>
      <c r="E281" s="167">
        <v>20637</v>
      </c>
      <c r="F281" s="73">
        <v>0</v>
      </c>
      <c r="G281">
        <v>4</v>
      </c>
      <c r="H281" s="72">
        <f t="shared" si="4"/>
        <v>4.7058823529411764E-2</v>
      </c>
    </row>
    <row r="282" spans="1:8" x14ac:dyDescent="0.25">
      <c r="A282" s="141" t="s">
        <v>2281</v>
      </c>
      <c r="B282" s="80">
        <v>218</v>
      </c>
      <c r="C282" s="80">
        <v>95</v>
      </c>
      <c r="D282" s="80">
        <v>86250</v>
      </c>
      <c r="E282" s="167">
        <v>25578</v>
      </c>
      <c r="F282" s="73">
        <v>1.6</v>
      </c>
      <c r="G282">
        <v>9</v>
      </c>
      <c r="H282" s="72">
        <f t="shared" si="4"/>
        <v>9.4736842105263161E-2</v>
      </c>
    </row>
    <row r="283" spans="1:8" x14ac:dyDescent="0.25">
      <c r="A283" s="141" t="s">
        <v>1754</v>
      </c>
      <c r="B283" s="80">
        <v>446</v>
      </c>
      <c r="C283" s="80">
        <v>283</v>
      </c>
      <c r="D283" s="80">
        <v>32895</v>
      </c>
      <c r="E283" s="167">
        <v>2779</v>
      </c>
      <c r="F283" s="73">
        <v>11.2</v>
      </c>
      <c r="G283">
        <v>167</v>
      </c>
      <c r="H283" s="72">
        <f t="shared" si="4"/>
        <v>0.59010600706713778</v>
      </c>
    </row>
    <row r="284" spans="1:8" x14ac:dyDescent="0.25">
      <c r="A284" s="141" t="s">
        <v>1976</v>
      </c>
      <c r="B284" s="80">
        <v>24</v>
      </c>
      <c r="C284" s="80">
        <v>9</v>
      </c>
      <c r="D284" s="80">
        <v>37813</v>
      </c>
      <c r="E284" s="167">
        <v>9301</v>
      </c>
      <c r="F284" s="73">
        <v>0</v>
      </c>
      <c r="G284">
        <v>2</v>
      </c>
      <c r="H284" s="72">
        <f t="shared" si="4"/>
        <v>0.22222222222222221</v>
      </c>
    </row>
    <row r="285" spans="1:8" x14ac:dyDescent="0.25">
      <c r="A285" s="141" t="s">
        <v>1814</v>
      </c>
      <c r="B285" s="80">
        <v>2658</v>
      </c>
      <c r="C285" s="80">
        <v>973</v>
      </c>
      <c r="D285" s="80">
        <v>64526</v>
      </c>
      <c r="E285" s="167">
        <v>9991</v>
      </c>
      <c r="F285" s="73">
        <v>2.4</v>
      </c>
      <c r="G285">
        <v>430</v>
      </c>
      <c r="H285" s="72">
        <f t="shared" si="4"/>
        <v>0.44193216855087358</v>
      </c>
    </row>
    <row r="286" spans="1:8" x14ac:dyDescent="0.25">
      <c r="A286" s="141" t="s">
        <v>2282</v>
      </c>
      <c r="B286" s="80">
        <v>162</v>
      </c>
      <c r="C286" s="80">
        <v>114</v>
      </c>
      <c r="D286" s="80">
        <v>65893</v>
      </c>
      <c r="E286" s="167">
        <v>10085</v>
      </c>
      <c r="F286" s="73">
        <v>2.2000000000000002</v>
      </c>
      <c r="G286">
        <v>18</v>
      </c>
      <c r="H286" s="72">
        <f t="shared" si="4"/>
        <v>0.15789473684210525</v>
      </c>
    </row>
    <row r="287" spans="1:8" x14ac:dyDescent="0.25">
      <c r="A287" s="141" t="s">
        <v>1685</v>
      </c>
      <c r="B287" s="80">
        <v>20393</v>
      </c>
      <c r="C287" s="80">
        <v>8421</v>
      </c>
      <c r="D287" s="80">
        <v>84436</v>
      </c>
      <c r="E287" s="167">
        <v>9097</v>
      </c>
      <c r="F287" s="73">
        <v>5</v>
      </c>
      <c r="G287">
        <v>1981</v>
      </c>
      <c r="H287" s="72">
        <f t="shared" si="4"/>
        <v>0.23524522028262676</v>
      </c>
    </row>
    <row r="288" spans="1:8" x14ac:dyDescent="0.25">
      <c r="A288" s="141" t="s">
        <v>1526</v>
      </c>
      <c r="B288" s="80">
        <v>600</v>
      </c>
      <c r="C288" s="80">
        <v>268</v>
      </c>
      <c r="D288" s="80">
        <v>72083</v>
      </c>
      <c r="E288" s="167">
        <v>30205</v>
      </c>
      <c r="F288" s="73">
        <v>5.3</v>
      </c>
      <c r="G288">
        <v>61</v>
      </c>
      <c r="H288" s="72">
        <f t="shared" si="4"/>
        <v>0.22761194029850745</v>
      </c>
    </row>
    <row r="289" spans="1:8" x14ac:dyDescent="0.25">
      <c r="A289" s="141" t="s">
        <v>2283</v>
      </c>
      <c r="B289" s="80">
        <v>79</v>
      </c>
      <c r="C289" s="80">
        <v>52</v>
      </c>
      <c r="D289" s="80">
        <v>45938</v>
      </c>
      <c r="E289" s="167">
        <v>24065</v>
      </c>
      <c r="F289" s="73">
        <v>14.7</v>
      </c>
      <c r="G289">
        <v>9</v>
      </c>
      <c r="H289" s="72">
        <f t="shared" si="4"/>
        <v>0.17307692307692307</v>
      </c>
    </row>
    <row r="290" spans="1:8" x14ac:dyDescent="0.25">
      <c r="A290" s="141" t="s">
        <v>1057</v>
      </c>
      <c r="B290" s="80">
        <v>1451</v>
      </c>
      <c r="C290" s="80">
        <v>690</v>
      </c>
      <c r="D290" s="80">
        <v>45451</v>
      </c>
      <c r="E290" s="167">
        <v>4986</v>
      </c>
      <c r="F290" s="73">
        <v>3.1</v>
      </c>
      <c r="G290">
        <v>370</v>
      </c>
      <c r="H290" s="72">
        <f t="shared" si="4"/>
        <v>0.53623188405797106</v>
      </c>
    </row>
    <row r="291" spans="1:8" x14ac:dyDescent="0.25">
      <c r="A291" s="141" t="s">
        <v>1575</v>
      </c>
      <c r="B291" s="80">
        <v>487</v>
      </c>
      <c r="C291" s="80">
        <v>213</v>
      </c>
      <c r="D291" s="80">
        <v>72500</v>
      </c>
      <c r="E291" s="167">
        <v>7366</v>
      </c>
      <c r="F291" s="73">
        <v>2.4</v>
      </c>
      <c r="G291">
        <v>39</v>
      </c>
      <c r="H291" s="72">
        <f t="shared" si="4"/>
        <v>0.18309859154929578</v>
      </c>
    </row>
    <row r="292" spans="1:8" x14ac:dyDescent="0.25">
      <c r="A292" s="141" t="s">
        <v>2284</v>
      </c>
      <c r="B292" s="80">
        <v>111</v>
      </c>
      <c r="C292" s="80">
        <v>52</v>
      </c>
      <c r="D292" s="80">
        <v>43750</v>
      </c>
      <c r="E292" s="167">
        <v>33128</v>
      </c>
      <c r="F292" s="73">
        <v>7</v>
      </c>
      <c r="G292">
        <v>57</v>
      </c>
      <c r="H292" s="72">
        <f t="shared" si="4"/>
        <v>1.0961538461538463</v>
      </c>
    </row>
    <row r="293" spans="1:8" x14ac:dyDescent="0.25">
      <c r="A293" s="141" t="s">
        <v>1059</v>
      </c>
      <c r="B293" s="80">
        <v>578</v>
      </c>
      <c r="C293" s="80">
        <v>226</v>
      </c>
      <c r="D293" s="80">
        <v>45750</v>
      </c>
      <c r="E293" s="167">
        <v>18717</v>
      </c>
      <c r="F293" s="73">
        <v>3.7</v>
      </c>
      <c r="G293">
        <v>160</v>
      </c>
      <c r="H293" s="72">
        <f t="shared" si="4"/>
        <v>0.70796460176991149</v>
      </c>
    </row>
    <row r="294" spans="1:8" x14ac:dyDescent="0.25">
      <c r="A294" s="141" t="s">
        <v>1930</v>
      </c>
      <c r="B294" s="80">
        <v>1388</v>
      </c>
      <c r="C294" s="80">
        <v>664</v>
      </c>
      <c r="D294" s="80">
        <v>38125</v>
      </c>
      <c r="E294" s="167">
        <v>8412</v>
      </c>
      <c r="F294" s="73">
        <v>5.0999999999999996</v>
      </c>
      <c r="G294">
        <v>310</v>
      </c>
      <c r="H294" s="72">
        <f t="shared" si="4"/>
        <v>0.46686746987951805</v>
      </c>
    </row>
    <row r="295" spans="1:8" x14ac:dyDescent="0.25">
      <c r="A295" s="141" t="s">
        <v>1958</v>
      </c>
      <c r="B295" s="80">
        <v>319</v>
      </c>
      <c r="C295" s="80">
        <v>146</v>
      </c>
      <c r="D295" s="80">
        <v>43542</v>
      </c>
      <c r="E295" s="167">
        <v>17661</v>
      </c>
      <c r="F295" s="73">
        <v>10.4</v>
      </c>
      <c r="G295">
        <v>103</v>
      </c>
      <c r="H295" s="72">
        <f t="shared" si="4"/>
        <v>0.70547945205479456</v>
      </c>
    </row>
    <row r="296" spans="1:8" x14ac:dyDescent="0.25">
      <c r="A296" s="141" t="s">
        <v>2285</v>
      </c>
      <c r="B296" s="80">
        <v>855</v>
      </c>
      <c r="C296" s="80">
        <v>300</v>
      </c>
      <c r="D296" s="80">
        <v>75500</v>
      </c>
      <c r="E296" s="167">
        <v>7056</v>
      </c>
      <c r="F296" s="73">
        <v>6.3</v>
      </c>
      <c r="G296">
        <v>114</v>
      </c>
      <c r="H296" s="72">
        <f t="shared" si="4"/>
        <v>0.38</v>
      </c>
    </row>
    <row r="297" spans="1:8" x14ac:dyDescent="0.25">
      <c r="A297" s="141" t="s">
        <v>1448</v>
      </c>
      <c r="B297" s="80">
        <v>27789</v>
      </c>
      <c r="C297" s="80">
        <v>11175</v>
      </c>
      <c r="D297" s="80">
        <v>65669</v>
      </c>
      <c r="E297" s="167">
        <v>2608</v>
      </c>
      <c r="F297" s="73">
        <v>5</v>
      </c>
      <c r="G297">
        <v>5388</v>
      </c>
      <c r="H297" s="72">
        <f t="shared" si="4"/>
        <v>0.48214765100671142</v>
      </c>
    </row>
    <row r="298" spans="1:8" x14ac:dyDescent="0.25">
      <c r="A298" s="141" t="s">
        <v>49</v>
      </c>
      <c r="B298" s="80">
        <v>192</v>
      </c>
      <c r="C298" s="80">
        <v>82</v>
      </c>
      <c r="D298" s="80">
        <v>95500</v>
      </c>
      <c r="E298" s="167">
        <v>26876</v>
      </c>
      <c r="F298" s="73">
        <v>2.2000000000000002</v>
      </c>
      <c r="G298">
        <v>30</v>
      </c>
      <c r="H298" s="72">
        <f t="shared" si="4"/>
        <v>0.36585365853658536</v>
      </c>
    </row>
    <row r="299" spans="1:8" x14ac:dyDescent="0.25">
      <c r="A299" s="141" t="s">
        <v>1838</v>
      </c>
      <c r="B299" s="80">
        <v>208</v>
      </c>
      <c r="C299" s="80">
        <v>118</v>
      </c>
      <c r="D299" s="80">
        <v>40625</v>
      </c>
      <c r="E299" s="167">
        <v>4529</v>
      </c>
      <c r="F299" s="73">
        <v>4.5999999999999996</v>
      </c>
      <c r="G299">
        <v>58</v>
      </c>
      <c r="H299" s="72">
        <f t="shared" si="4"/>
        <v>0.49152542372881358</v>
      </c>
    </row>
    <row r="300" spans="1:8" x14ac:dyDescent="0.25">
      <c r="A300" s="141" t="s">
        <v>1532</v>
      </c>
      <c r="B300" s="80">
        <v>1314</v>
      </c>
      <c r="C300" s="80">
        <v>613</v>
      </c>
      <c r="D300" s="80">
        <v>59018</v>
      </c>
      <c r="E300" s="167">
        <v>15165</v>
      </c>
      <c r="F300" s="73">
        <v>1.6</v>
      </c>
      <c r="G300">
        <v>203</v>
      </c>
      <c r="H300" s="72">
        <f t="shared" si="4"/>
        <v>0.33115823817292006</v>
      </c>
    </row>
    <row r="301" spans="1:8" x14ac:dyDescent="0.25">
      <c r="A301" s="141" t="s">
        <v>2286</v>
      </c>
      <c r="B301" s="80">
        <v>43</v>
      </c>
      <c r="C301" s="80">
        <v>22</v>
      </c>
      <c r="D301" s="80">
        <v>18750</v>
      </c>
      <c r="E301" s="167">
        <v>548</v>
      </c>
      <c r="F301" s="73">
        <v>0</v>
      </c>
      <c r="G301">
        <v>42</v>
      </c>
      <c r="H301" s="72">
        <f t="shared" si="4"/>
        <v>1.9090909090909092</v>
      </c>
    </row>
    <row r="302" spans="1:8" x14ac:dyDescent="0.25">
      <c r="A302" s="141" t="s">
        <v>48</v>
      </c>
      <c r="B302" s="80">
        <v>233</v>
      </c>
      <c r="C302" s="80">
        <v>135</v>
      </c>
      <c r="D302" s="80">
        <v>46875</v>
      </c>
      <c r="E302" s="167">
        <v>7526</v>
      </c>
      <c r="F302" s="73">
        <v>6.1</v>
      </c>
      <c r="G302">
        <v>89</v>
      </c>
      <c r="H302" s="72">
        <f t="shared" si="4"/>
        <v>0.65925925925925921</v>
      </c>
    </row>
    <row r="303" spans="1:8" x14ac:dyDescent="0.25">
      <c r="A303" s="141" t="s">
        <v>1916</v>
      </c>
      <c r="B303" s="80">
        <v>362</v>
      </c>
      <c r="C303" s="80">
        <v>164</v>
      </c>
      <c r="D303" s="80">
        <v>51667</v>
      </c>
      <c r="E303" s="167">
        <v>18186</v>
      </c>
      <c r="F303" s="73">
        <v>7.5</v>
      </c>
      <c r="G303">
        <v>34</v>
      </c>
      <c r="H303" s="72">
        <f t="shared" si="4"/>
        <v>0.2073170731707317</v>
      </c>
    </row>
    <row r="304" spans="1:8" x14ac:dyDescent="0.25">
      <c r="A304" s="141" t="s">
        <v>2287</v>
      </c>
      <c r="B304" s="80">
        <v>148</v>
      </c>
      <c r="C304" s="80">
        <v>166</v>
      </c>
      <c r="D304" s="80">
        <v>46250</v>
      </c>
      <c r="E304" s="167">
        <v>7068</v>
      </c>
      <c r="F304" s="73">
        <v>0</v>
      </c>
      <c r="G304">
        <v>40</v>
      </c>
      <c r="H304" s="72">
        <f t="shared" si="4"/>
        <v>0.24096385542168675</v>
      </c>
    </row>
    <row r="305" spans="1:8" x14ac:dyDescent="0.25">
      <c r="A305" s="141" t="s">
        <v>1968</v>
      </c>
      <c r="B305" s="80">
        <v>110</v>
      </c>
      <c r="C305" s="80">
        <v>56</v>
      </c>
      <c r="D305" s="80">
        <v>45833</v>
      </c>
      <c r="E305" s="167">
        <v>37323</v>
      </c>
      <c r="F305" s="73">
        <v>6.7</v>
      </c>
      <c r="G305">
        <v>23</v>
      </c>
      <c r="H305" s="72">
        <f t="shared" si="4"/>
        <v>0.4107142857142857</v>
      </c>
    </row>
    <row r="306" spans="1:8" x14ac:dyDescent="0.25">
      <c r="A306" s="141" t="s">
        <v>1931</v>
      </c>
      <c r="B306" s="80">
        <v>297</v>
      </c>
      <c r="C306" s="80">
        <v>140</v>
      </c>
      <c r="D306" s="80">
        <v>73333</v>
      </c>
      <c r="E306" s="167">
        <v>29703</v>
      </c>
      <c r="F306" s="73">
        <v>0</v>
      </c>
      <c r="G306">
        <v>34</v>
      </c>
      <c r="H306" s="72">
        <f t="shared" si="4"/>
        <v>0.24285714285714285</v>
      </c>
    </row>
    <row r="307" spans="1:8" x14ac:dyDescent="0.25">
      <c r="A307" s="141" t="s">
        <v>1640</v>
      </c>
      <c r="B307" s="80">
        <v>1958</v>
      </c>
      <c r="C307" s="80">
        <v>982</v>
      </c>
      <c r="D307" s="80">
        <v>48654</v>
      </c>
      <c r="E307" s="167">
        <v>7243</v>
      </c>
      <c r="F307" s="73">
        <v>4.5</v>
      </c>
      <c r="G307">
        <v>232</v>
      </c>
      <c r="H307" s="72">
        <f t="shared" si="4"/>
        <v>0.23625254582484725</v>
      </c>
    </row>
    <row r="308" spans="1:8" x14ac:dyDescent="0.25">
      <c r="A308" s="141" t="s">
        <v>2288</v>
      </c>
      <c r="B308" s="80">
        <v>528</v>
      </c>
      <c r="C308" s="80">
        <v>180</v>
      </c>
      <c r="D308" s="80">
        <v>117500</v>
      </c>
      <c r="E308" s="167">
        <v>22494</v>
      </c>
      <c r="F308" s="73">
        <v>1.2</v>
      </c>
      <c r="G308">
        <v>19</v>
      </c>
      <c r="H308" s="72">
        <f t="shared" si="4"/>
        <v>0.10555555555555556</v>
      </c>
    </row>
    <row r="309" spans="1:8" x14ac:dyDescent="0.25">
      <c r="A309" s="141" t="s">
        <v>1734</v>
      </c>
      <c r="B309" s="80">
        <v>446</v>
      </c>
      <c r="C309" s="80">
        <v>237</v>
      </c>
      <c r="D309" s="80">
        <v>53542</v>
      </c>
      <c r="E309" s="167">
        <v>21166</v>
      </c>
      <c r="F309" s="73">
        <v>2.8</v>
      </c>
      <c r="G309">
        <v>59</v>
      </c>
      <c r="H309" s="72">
        <f t="shared" si="4"/>
        <v>0.24894514767932491</v>
      </c>
    </row>
    <row r="310" spans="1:8" x14ac:dyDescent="0.25">
      <c r="A310" s="141" t="s">
        <v>2289</v>
      </c>
      <c r="B310" s="80">
        <v>84</v>
      </c>
      <c r="C310" s="80">
        <v>31</v>
      </c>
      <c r="D310" s="80"/>
      <c r="E310" s="167" t="s">
        <v>0</v>
      </c>
      <c r="F310" s="73">
        <v>0</v>
      </c>
      <c r="G310">
        <v>36</v>
      </c>
      <c r="H310" s="72">
        <f t="shared" si="4"/>
        <v>1.1612903225806452</v>
      </c>
    </row>
    <row r="311" spans="1:8" x14ac:dyDescent="0.25">
      <c r="A311" s="141" t="s">
        <v>1486</v>
      </c>
      <c r="B311" s="80">
        <v>56</v>
      </c>
      <c r="C311" s="80">
        <v>34</v>
      </c>
      <c r="D311" s="80">
        <v>67083</v>
      </c>
      <c r="E311" s="167">
        <v>32082</v>
      </c>
      <c r="F311" s="73">
        <v>16.7</v>
      </c>
      <c r="G311">
        <v>15</v>
      </c>
      <c r="H311" s="72">
        <f t="shared" si="4"/>
        <v>0.44117647058823528</v>
      </c>
    </row>
    <row r="312" spans="1:8" x14ac:dyDescent="0.25">
      <c r="A312" s="141" t="s">
        <v>1978</v>
      </c>
      <c r="B312" s="80">
        <v>497</v>
      </c>
      <c r="C312" s="80">
        <v>202</v>
      </c>
      <c r="D312" s="80">
        <v>62083</v>
      </c>
      <c r="E312" s="167">
        <v>15815</v>
      </c>
      <c r="F312" s="73">
        <v>0.8</v>
      </c>
      <c r="G312">
        <v>92</v>
      </c>
      <c r="H312" s="72">
        <f t="shared" si="4"/>
        <v>0.45544554455445546</v>
      </c>
    </row>
    <row r="313" spans="1:8" x14ac:dyDescent="0.25">
      <c r="A313" s="141" t="s">
        <v>1920</v>
      </c>
      <c r="B313" s="80">
        <v>806</v>
      </c>
      <c r="C313" s="80">
        <v>416</v>
      </c>
      <c r="D313" s="80">
        <v>45598</v>
      </c>
      <c r="E313" s="167">
        <v>8538</v>
      </c>
      <c r="F313" s="73">
        <v>1.4</v>
      </c>
      <c r="G313">
        <v>180</v>
      </c>
      <c r="H313" s="72">
        <f t="shared" si="4"/>
        <v>0.43269230769230771</v>
      </c>
    </row>
    <row r="314" spans="1:8" x14ac:dyDescent="0.25">
      <c r="A314" s="141" t="s">
        <v>1061</v>
      </c>
      <c r="B314" s="80">
        <v>1828</v>
      </c>
      <c r="C314" s="80">
        <v>941</v>
      </c>
      <c r="D314" s="80">
        <v>51705</v>
      </c>
      <c r="E314" s="167">
        <v>6503</v>
      </c>
      <c r="F314" s="73">
        <v>3</v>
      </c>
      <c r="G314">
        <v>488</v>
      </c>
      <c r="H314" s="72">
        <f t="shared" si="4"/>
        <v>0.51859723698193416</v>
      </c>
    </row>
    <row r="315" spans="1:8" x14ac:dyDescent="0.25">
      <c r="A315" s="141" t="s">
        <v>2290</v>
      </c>
      <c r="B315" s="80">
        <v>244</v>
      </c>
      <c r="C315" s="80">
        <v>226</v>
      </c>
      <c r="D315" s="80">
        <v>47750</v>
      </c>
      <c r="E315" s="167">
        <v>14384</v>
      </c>
      <c r="F315" s="73">
        <v>1.7</v>
      </c>
      <c r="G315">
        <v>33</v>
      </c>
      <c r="H315" s="72">
        <f t="shared" si="4"/>
        <v>0.14601769911504425</v>
      </c>
    </row>
    <row r="316" spans="1:8" x14ac:dyDescent="0.25">
      <c r="A316" s="141" t="s">
        <v>1514</v>
      </c>
      <c r="B316" s="80">
        <v>5488</v>
      </c>
      <c r="C316" s="80">
        <v>2172</v>
      </c>
      <c r="D316" s="80">
        <v>60609</v>
      </c>
      <c r="E316" s="167">
        <v>13673</v>
      </c>
      <c r="F316" s="73">
        <v>0.6</v>
      </c>
      <c r="G316">
        <v>1054</v>
      </c>
      <c r="H316" s="72">
        <f t="shared" si="4"/>
        <v>0.48526703499079188</v>
      </c>
    </row>
    <row r="317" spans="1:8" x14ac:dyDescent="0.25">
      <c r="A317" s="141" t="s">
        <v>1735</v>
      </c>
      <c r="B317" s="80">
        <v>631</v>
      </c>
      <c r="C317" s="80">
        <v>309</v>
      </c>
      <c r="D317" s="80">
        <v>44750</v>
      </c>
      <c r="E317" s="167">
        <v>12629</v>
      </c>
      <c r="F317" s="73">
        <v>2.2999999999999998</v>
      </c>
      <c r="G317">
        <v>151</v>
      </c>
      <c r="H317" s="72">
        <f t="shared" si="4"/>
        <v>0.48867313915857608</v>
      </c>
    </row>
    <row r="318" spans="1:8" x14ac:dyDescent="0.25">
      <c r="A318" s="141" t="s">
        <v>1708</v>
      </c>
      <c r="B318" s="80">
        <v>2563</v>
      </c>
      <c r="C318" s="80">
        <v>1404</v>
      </c>
      <c r="D318" s="80">
        <v>45852</v>
      </c>
      <c r="E318" s="167">
        <v>4842</v>
      </c>
      <c r="F318" s="73">
        <v>0.9</v>
      </c>
      <c r="G318">
        <v>619</v>
      </c>
      <c r="H318" s="72">
        <f t="shared" si="4"/>
        <v>0.44088319088319089</v>
      </c>
    </row>
    <row r="319" spans="1:8" x14ac:dyDescent="0.25">
      <c r="A319" s="141" t="s">
        <v>1484</v>
      </c>
      <c r="B319" s="80">
        <v>1362</v>
      </c>
      <c r="C319" s="80">
        <v>488</v>
      </c>
      <c r="D319" s="80">
        <v>80121</v>
      </c>
      <c r="E319" s="167">
        <v>19851</v>
      </c>
      <c r="F319" s="73">
        <v>4.2</v>
      </c>
      <c r="G319">
        <v>221</v>
      </c>
      <c r="H319" s="72">
        <f t="shared" si="4"/>
        <v>0.45286885245901637</v>
      </c>
    </row>
    <row r="320" spans="1:8" x14ac:dyDescent="0.25">
      <c r="A320" s="141" t="s">
        <v>2018</v>
      </c>
      <c r="B320" s="80">
        <v>21611</v>
      </c>
      <c r="C320" s="80">
        <v>10037</v>
      </c>
      <c r="D320" s="80">
        <v>97783</v>
      </c>
      <c r="E320" s="167">
        <v>8993</v>
      </c>
      <c r="F320" s="73">
        <v>2.2000000000000002</v>
      </c>
      <c r="G320">
        <v>2230</v>
      </c>
      <c r="H320" s="72">
        <f t="shared" si="4"/>
        <v>0.22217794161602072</v>
      </c>
    </row>
    <row r="321" spans="1:8" x14ac:dyDescent="0.25">
      <c r="A321" s="141" t="s">
        <v>1063</v>
      </c>
      <c r="B321" s="80">
        <v>233</v>
      </c>
      <c r="C321" s="80">
        <v>139</v>
      </c>
      <c r="D321" s="80">
        <v>32500</v>
      </c>
      <c r="E321" s="167">
        <v>26336</v>
      </c>
      <c r="F321" s="73">
        <v>13.4</v>
      </c>
      <c r="G321">
        <v>76</v>
      </c>
      <c r="H321" s="72">
        <f t="shared" si="4"/>
        <v>0.5467625899280576</v>
      </c>
    </row>
    <row r="322" spans="1:8" x14ac:dyDescent="0.25">
      <c r="A322" s="141" t="s">
        <v>1065</v>
      </c>
      <c r="B322" s="80">
        <v>1191</v>
      </c>
      <c r="C322" s="80">
        <v>416</v>
      </c>
      <c r="D322" s="80">
        <v>72037</v>
      </c>
      <c r="E322" s="167">
        <v>8858</v>
      </c>
      <c r="F322" s="73">
        <v>1.9</v>
      </c>
      <c r="G322">
        <v>218</v>
      </c>
      <c r="H322" s="72">
        <f t="shared" ref="H322:H385" si="5">G322/C322</f>
        <v>0.52403846153846156</v>
      </c>
    </row>
    <row r="323" spans="1:8" x14ac:dyDescent="0.25">
      <c r="A323" s="141" t="s">
        <v>47</v>
      </c>
      <c r="B323" s="80">
        <v>13</v>
      </c>
      <c r="C323" s="80">
        <v>14</v>
      </c>
      <c r="D323" s="80">
        <v>14500</v>
      </c>
      <c r="E323" s="167">
        <v>2173</v>
      </c>
      <c r="F323" s="73">
        <v>0</v>
      </c>
      <c r="G323">
        <v>11</v>
      </c>
      <c r="H323" s="72">
        <f t="shared" si="5"/>
        <v>0.7857142857142857</v>
      </c>
    </row>
    <row r="324" spans="1:8" x14ac:dyDescent="0.25">
      <c r="A324" s="141" t="s">
        <v>1688</v>
      </c>
      <c r="B324" s="80">
        <v>111</v>
      </c>
      <c r="C324" s="80">
        <v>70</v>
      </c>
      <c r="D324" s="80">
        <v>41250</v>
      </c>
      <c r="E324" s="167">
        <v>15261</v>
      </c>
      <c r="F324" s="73">
        <v>2.5</v>
      </c>
      <c r="G324">
        <v>25</v>
      </c>
      <c r="H324" s="72">
        <f t="shared" si="5"/>
        <v>0.35714285714285715</v>
      </c>
    </row>
    <row r="325" spans="1:8" x14ac:dyDescent="0.25">
      <c r="A325" s="141" t="s">
        <v>1567</v>
      </c>
      <c r="B325" s="80">
        <v>558</v>
      </c>
      <c r="C325" s="80">
        <v>268</v>
      </c>
      <c r="D325" s="80">
        <v>69500</v>
      </c>
      <c r="E325" s="167">
        <v>18345</v>
      </c>
      <c r="F325" s="73">
        <v>2.9</v>
      </c>
      <c r="G325">
        <v>92</v>
      </c>
      <c r="H325" s="72">
        <f t="shared" si="5"/>
        <v>0.34328358208955223</v>
      </c>
    </row>
    <row r="326" spans="1:8" x14ac:dyDescent="0.25">
      <c r="A326" s="141" t="s">
        <v>2291</v>
      </c>
      <c r="B326" s="80">
        <v>4132</v>
      </c>
      <c r="C326" s="80">
        <v>1899</v>
      </c>
      <c r="D326" s="80">
        <v>59036</v>
      </c>
      <c r="E326" s="167">
        <v>8774</v>
      </c>
      <c r="F326" s="73">
        <v>3.4</v>
      </c>
      <c r="G326">
        <v>469</v>
      </c>
      <c r="H326" s="72">
        <f t="shared" si="5"/>
        <v>0.24697209057398631</v>
      </c>
    </row>
    <row r="327" spans="1:8" x14ac:dyDescent="0.25">
      <c r="A327" s="141" t="s">
        <v>1471</v>
      </c>
      <c r="B327" s="80">
        <v>629</v>
      </c>
      <c r="C327" s="80">
        <v>289</v>
      </c>
      <c r="D327" s="80">
        <v>45350</v>
      </c>
      <c r="E327" s="167">
        <v>3436</v>
      </c>
      <c r="F327" s="73">
        <v>2.5</v>
      </c>
      <c r="G327">
        <v>181</v>
      </c>
      <c r="H327" s="72">
        <f t="shared" si="5"/>
        <v>0.62629757785467133</v>
      </c>
    </row>
    <row r="328" spans="1:8" x14ac:dyDescent="0.25">
      <c r="A328" s="141" t="s">
        <v>1504</v>
      </c>
      <c r="B328" s="80">
        <v>228</v>
      </c>
      <c r="C328" s="80">
        <v>134</v>
      </c>
      <c r="D328" s="80">
        <v>46429</v>
      </c>
      <c r="E328" s="167">
        <v>23578</v>
      </c>
      <c r="F328" s="73">
        <v>0</v>
      </c>
      <c r="G328">
        <v>61</v>
      </c>
      <c r="H328" s="72">
        <f t="shared" si="5"/>
        <v>0.45522388059701491</v>
      </c>
    </row>
    <row r="329" spans="1:8" x14ac:dyDescent="0.25">
      <c r="A329" s="141" t="s">
        <v>1783</v>
      </c>
      <c r="B329" s="80">
        <v>1426</v>
      </c>
      <c r="C329" s="80">
        <v>888</v>
      </c>
      <c r="D329" s="80">
        <v>55141</v>
      </c>
      <c r="E329" s="167">
        <v>8576</v>
      </c>
      <c r="F329" s="73">
        <v>0.3</v>
      </c>
      <c r="G329">
        <v>325</v>
      </c>
      <c r="H329" s="72">
        <f t="shared" si="5"/>
        <v>0.36599099099099097</v>
      </c>
    </row>
    <row r="330" spans="1:8" x14ac:dyDescent="0.25">
      <c r="A330" s="141" t="s">
        <v>1745</v>
      </c>
      <c r="B330" s="80">
        <v>1095</v>
      </c>
      <c r="C330" s="80">
        <v>499</v>
      </c>
      <c r="D330" s="80">
        <v>58654</v>
      </c>
      <c r="E330" s="167">
        <v>8452</v>
      </c>
      <c r="F330" s="73">
        <v>1.6</v>
      </c>
      <c r="G330">
        <v>228</v>
      </c>
      <c r="H330" s="72">
        <f t="shared" si="5"/>
        <v>0.45691382765531063</v>
      </c>
    </row>
    <row r="331" spans="1:8" x14ac:dyDescent="0.25">
      <c r="A331" s="141" t="s">
        <v>1787</v>
      </c>
      <c r="B331" s="80">
        <v>11218</v>
      </c>
      <c r="C331" s="80">
        <v>5279</v>
      </c>
      <c r="D331" s="80">
        <v>48247</v>
      </c>
      <c r="E331" s="167">
        <v>6126</v>
      </c>
      <c r="F331" s="73">
        <v>5</v>
      </c>
      <c r="G331">
        <v>3006</v>
      </c>
      <c r="H331" s="72">
        <f t="shared" si="5"/>
        <v>0.56942602765675321</v>
      </c>
    </row>
    <row r="332" spans="1:8" x14ac:dyDescent="0.25">
      <c r="A332" s="141" t="s">
        <v>1899</v>
      </c>
      <c r="B332" s="80">
        <v>2636</v>
      </c>
      <c r="C332" s="80">
        <v>1279</v>
      </c>
      <c r="D332" s="80">
        <v>51006</v>
      </c>
      <c r="E332" s="167">
        <v>3360</v>
      </c>
      <c r="F332" s="73">
        <v>0.7</v>
      </c>
      <c r="G332">
        <v>792</v>
      </c>
      <c r="H332" s="72">
        <f t="shared" si="5"/>
        <v>0.61923377638780297</v>
      </c>
    </row>
    <row r="333" spans="1:8" x14ac:dyDescent="0.25">
      <c r="A333" s="141" t="s">
        <v>2292</v>
      </c>
      <c r="B333" s="80">
        <v>4106</v>
      </c>
      <c r="C333" s="80">
        <v>1454</v>
      </c>
      <c r="D333" s="80">
        <v>115850</v>
      </c>
      <c r="E333" s="167">
        <v>17423</v>
      </c>
      <c r="F333" s="73">
        <v>1.5</v>
      </c>
      <c r="G333">
        <v>273</v>
      </c>
      <c r="H333" s="72">
        <f t="shared" si="5"/>
        <v>0.18775790921595598</v>
      </c>
    </row>
    <row r="334" spans="1:8" x14ac:dyDescent="0.25">
      <c r="A334" s="141" t="s">
        <v>2293</v>
      </c>
      <c r="B334" s="80">
        <v>156</v>
      </c>
      <c r="C334" s="80">
        <v>70</v>
      </c>
      <c r="D334" s="80">
        <v>66250</v>
      </c>
      <c r="E334" s="167">
        <v>51348</v>
      </c>
      <c r="F334" s="73">
        <v>10.1</v>
      </c>
      <c r="G334">
        <v>24</v>
      </c>
      <c r="H334" s="72">
        <f t="shared" si="5"/>
        <v>0.34285714285714286</v>
      </c>
    </row>
    <row r="335" spans="1:8" x14ac:dyDescent="0.25">
      <c r="A335" s="141" t="s">
        <v>1888</v>
      </c>
      <c r="B335" s="80">
        <v>739</v>
      </c>
      <c r="C335" s="80">
        <v>312</v>
      </c>
      <c r="D335" s="80">
        <v>53125</v>
      </c>
      <c r="E335" s="167">
        <v>10580</v>
      </c>
      <c r="F335" s="73">
        <v>0.3</v>
      </c>
      <c r="G335">
        <v>73</v>
      </c>
      <c r="H335" s="72">
        <f t="shared" si="5"/>
        <v>0.23397435897435898</v>
      </c>
    </row>
    <row r="336" spans="1:8" x14ac:dyDescent="0.25">
      <c r="A336" s="141" t="s">
        <v>1131</v>
      </c>
      <c r="B336" s="80">
        <v>3013</v>
      </c>
      <c r="C336" s="80">
        <v>1063</v>
      </c>
      <c r="D336" s="80">
        <v>123817</v>
      </c>
      <c r="E336" s="167">
        <v>3672</v>
      </c>
      <c r="F336" s="73">
        <v>3.6</v>
      </c>
      <c r="G336">
        <v>122</v>
      </c>
      <c r="H336" s="72">
        <f t="shared" si="5"/>
        <v>0.11476952022577611</v>
      </c>
    </row>
    <row r="337" spans="1:8" x14ac:dyDescent="0.25">
      <c r="A337" s="141" t="s">
        <v>2394</v>
      </c>
      <c r="B337" s="80">
        <v>522</v>
      </c>
      <c r="C337" s="80">
        <v>201</v>
      </c>
      <c r="D337" s="80">
        <v>64750</v>
      </c>
      <c r="E337" s="167">
        <v>12246</v>
      </c>
      <c r="F337" s="73">
        <v>3.8</v>
      </c>
      <c r="G337">
        <v>17</v>
      </c>
      <c r="H337" s="72">
        <f t="shared" si="5"/>
        <v>8.45771144278607E-2</v>
      </c>
    </row>
    <row r="338" spans="1:8" x14ac:dyDescent="0.25">
      <c r="A338" s="141" t="s">
        <v>2294</v>
      </c>
      <c r="B338" s="80">
        <v>224</v>
      </c>
      <c r="C338" s="80">
        <v>85</v>
      </c>
      <c r="D338" s="80">
        <v>61528</v>
      </c>
      <c r="E338" s="167">
        <v>10854</v>
      </c>
      <c r="F338" s="73">
        <v>0.9</v>
      </c>
      <c r="G338">
        <v>30</v>
      </c>
      <c r="H338" s="72">
        <f t="shared" si="5"/>
        <v>0.35294117647058826</v>
      </c>
    </row>
    <row r="339" spans="1:8" x14ac:dyDescent="0.25">
      <c r="A339" s="141" t="s">
        <v>2295</v>
      </c>
      <c r="B339" s="80">
        <v>742</v>
      </c>
      <c r="C339" s="80">
        <v>357</v>
      </c>
      <c r="D339" s="80">
        <v>183750</v>
      </c>
      <c r="E339" s="167">
        <v>58227</v>
      </c>
      <c r="F339" s="73">
        <v>2.6</v>
      </c>
      <c r="G339">
        <v>39</v>
      </c>
      <c r="H339" s="72">
        <f t="shared" si="5"/>
        <v>0.1092436974789916</v>
      </c>
    </row>
    <row r="340" spans="1:8" x14ac:dyDescent="0.25">
      <c r="A340" s="141" t="s">
        <v>1559</v>
      </c>
      <c r="B340" s="80">
        <v>296</v>
      </c>
      <c r="C340" s="80">
        <v>185</v>
      </c>
      <c r="D340" s="80">
        <v>42917</v>
      </c>
      <c r="E340" s="167">
        <v>22795</v>
      </c>
      <c r="F340" s="73">
        <v>4.4000000000000004</v>
      </c>
      <c r="G340">
        <v>62</v>
      </c>
      <c r="H340" s="72">
        <f t="shared" si="5"/>
        <v>0.33513513513513515</v>
      </c>
    </row>
    <row r="341" spans="1:8" x14ac:dyDescent="0.25">
      <c r="A341" s="141" t="s">
        <v>1069</v>
      </c>
      <c r="B341" s="80">
        <v>791</v>
      </c>
      <c r="C341" s="80">
        <v>332</v>
      </c>
      <c r="D341" s="80">
        <v>49500</v>
      </c>
      <c r="E341" s="167">
        <v>16576</v>
      </c>
      <c r="F341" s="73">
        <v>3.1</v>
      </c>
      <c r="G341">
        <v>267</v>
      </c>
      <c r="H341" s="72">
        <f t="shared" si="5"/>
        <v>0.80421686746987953</v>
      </c>
    </row>
    <row r="342" spans="1:8" x14ac:dyDescent="0.25">
      <c r="A342" s="141" t="s">
        <v>1768</v>
      </c>
      <c r="B342" s="80">
        <v>240</v>
      </c>
      <c r="C342" s="80">
        <v>114</v>
      </c>
      <c r="D342" s="80">
        <v>53636</v>
      </c>
      <c r="E342" s="167">
        <v>10209</v>
      </c>
      <c r="F342" s="73">
        <v>1.8</v>
      </c>
      <c r="G342">
        <v>28</v>
      </c>
      <c r="H342" s="72">
        <f t="shared" si="5"/>
        <v>0.24561403508771928</v>
      </c>
    </row>
    <row r="343" spans="1:8" x14ac:dyDescent="0.25">
      <c r="A343" s="141" t="s">
        <v>2296</v>
      </c>
      <c r="B343" s="80">
        <v>61</v>
      </c>
      <c r="C343" s="80">
        <v>48</v>
      </c>
      <c r="D343" s="80">
        <v>50329</v>
      </c>
      <c r="E343" s="167">
        <v>16665</v>
      </c>
      <c r="F343" s="73">
        <v>0</v>
      </c>
      <c r="G343">
        <v>10</v>
      </c>
      <c r="H343" s="72">
        <f t="shared" si="5"/>
        <v>0.20833333333333334</v>
      </c>
    </row>
    <row r="344" spans="1:8" x14ac:dyDescent="0.25">
      <c r="A344" s="141" t="s">
        <v>1912</v>
      </c>
      <c r="B344" s="80">
        <v>329</v>
      </c>
      <c r="C344" s="80">
        <v>246</v>
      </c>
      <c r="D344" s="80">
        <v>27218</v>
      </c>
      <c r="E344" s="167">
        <v>7809</v>
      </c>
      <c r="F344" s="73">
        <v>7.9</v>
      </c>
      <c r="G344">
        <v>105</v>
      </c>
      <c r="H344" s="72">
        <f t="shared" si="5"/>
        <v>0.42682926829268292</v>
      </c>
    </row>
    <row r="345" spans="1:8" x14ac:dyDescent="0.25">
      <c r="A345" s="141" t="s">
        <v>1880</v>
      </c>
      <c r="B345" s="80">
        <v>56</v>
      </c>
      <c r="C345" s="80">
        <v>32</v>
      </c>
      <c r="D345" s="80">
        <v>51944</v>
      </c>
      <c r="E345" s="167">
        <v>20351</v>
      </c>
      <c r="F345" s="73">
        <v>0</v>
      </c>
      <c r="G345">
        <v>6</v>
      </c>
      <c r="H345" s="72">
        <f t="shared" si="5"/>
        <v>0.1875</v>
      </c>
    </row>
    <row r="346" spans="1:8" x14ac:dyDescent="0.25">
      <c r="A346" s="141" t="s">
        <v>2008</v>
      </c>
      <c r="B346" s="80">
        <v>906</v>
      </c>
      <c r="C346" s="80">
        <v>503</v>
      </c>
      <c r="D346" s="80">
        <v>56087</v>
      </c>
      <c r="E346" s="167">
        <v>6674</v>
      </c>
      <c r="F346" s="73">
        <v>2.2999999999999998</v>
      </c>
      <c r="G346">
        <v>142</v>
      </c>
      <c r="H346" s="72">
        <f t="shared" si="5"/>
        <v>0.28230616302186878</v>
      </c>
    </row>
    <row r="347" spans="1:8" x14ac:dyDescent="0.25">
      <c r="A347" s="141" t="s">
        <v>2297</v>
      </c>
      <c r="B347" s="80">
        <v>39</v>
      </c>
      <c r="C347" s="80">
        <v>26</v>
      </c>
      <c r="D347" s="80">
        <v>43333</v>
      </c>
      <c r="E347" s="167">
        <v>33336</v>
      </c>
      <c r="F347" s="73">
        <v>0</v>
      </c>
      <c r="G347">
        <v>25</v>
      </c>
      <c r="H347" s="72">
        <f t="shared" si="5"/>
        <v>0.96153846153846156</v>
      </c>
    </row>
    <row r="348" spans="1:8" x14ac:dyDescent="0.25">
      <c r="A348" s="141" t="s">
        <v>1492</v>
      </c>
      <c r="B348" s="80">
        <v>587</v>
      </c>
      <c r="C348" s="80">
        <v>292</v>
      </c>
      <c r="D348" s="80">
        <v>50417</v>
      </c>
      <c r="E348" s="167">
        <v>11109</v>
      </c>
      <c r="F348" s="73">
        <v>0</v>
      </c>
      <c r="G348">
        <v>70</v>
      </c>
      <c r="H348" s="72">
        <f t="shared" si="5"/>
        <v>0.23972602739726026</v>
      </c>
    </row>
    <row r="349" spans="1:8" x14ac:dyDescent="0.25">
      <c r="A349" s="141" t="s">
        <v>1830</v>
      </c>
      <c r="B349" s="80">
        <v>554</v>
      </c>
      <c r="C349" s="80">
        <v>218</v>
      </c>
      <c r="D349" s="80">
        <v>76667</v>
      </c>
      <c r="E349" s="167">
        <v>20061</v>
      </c>
      <c r="F349" s="73">
        <v>5.4</v>
      </c>
      <c r="G349">
        <v>46</v>
      </c>
      <c r="H349" s="72">
        <f t="shared" si="5"/>
        <v>0.21100917431192662</v>
      </c>
    </row>
    <row r="350" spans="1:8" x14ac:dyDescent="0.25">
      <c r="A350" s="141" t="s">
        <v>2395</v>
      </c>
      <c r="B350" s="80">
        <v>16630</v>
      </c>
      <c r="C350" s="80">
        <v>6026</v>
      </c>
      <c r="D350" s="80">
        <v>99736</v>
      </c>
      <c r="E350" s="167">
        <v>8271</v>
      </c>
      <c r="F350" s="73">
        <v>2.5</v>
      </c>
      <c r="G350">
        <v>803</v>
      </c>
      <c r="H350" s="72">
        <f t="shared" si="5"/>
        <v>0.13325589113840028</v>
      </c>
    </row>
    <row r="351" spans="1:8" x14ac:dyDescent="0.25">
      <c r="A351" s="141" t="s">
        <v>1555</v>
      </c>
      <c r="B351" s="80">
        <v>109</v>
      </c>
      <c r="C351" s="80">
        <v>61</v>
      </c>
      <c r="D351" s="80">
        <v>76563</v>
      </c>
      <c r="E351" s="167">
        <v>46409</v>
      </c>
      <c r="F351" s="73">
        <v>0</v>
      </c>
      <c r="G351">
        <v>7</v>
      </c>
      <c r="H351" s="72">
        <f t="shared" si="5"/>
        <v>0.11475409836065574</v>
      </c>
    </row>
    <row r="352" spans="1:8" x14ac:dyDescent="0.25">
      <c r="A352" s="141" t="s">
        <v>1724</v>
      </c>
      <c r="B352" s="80">
        <v>586</v>
      </c>
      <c r="C352" s="80">
        <v>256</v>
      </c>
      <c r="D352" s="80">
        <v>81731</v>
      </c>
      <c r="E352" s="167">
        <v>7699</v>
      </c>
      <c r="F352" s="73">
        <v>6.7</v>
      </c>
      <c r="G352">
        <v>74</v>
      </c>
      <c r="H352" s="72">
        <f t="shared" si="5"/>
        <v>0.2890625</v>
      </c>
    </row>
    <row r="353" spans="1:8" x14ac:dyDescent="0.25">
      <c r="A353" s="141" t="s">
        <v>1500</v>
      </c>
      <c r="B353" s="80">
        <v>746</v>
      </c>
      <c r="C353" s="80">
        <v>317</v>
      </c>
      <c r="D353" s="80">
        <v>67969</v>
      </c>
      <c r="E353" s="167">
        <v>10265</v>
      </c>
      <c r="F353" s="73">
        <v>7.2</v>
      </c>
      <c r="G353">
        <v>118</v>
      </c>
      <c r="H353" s="72">
        <f t="shared" si="5"/>
        <v>0.37223974763406942</v>
      </c>
    </row>
    <row r="354" spans="1:8" x14ac:dyDescent="0.25">
      <c r="A354" s="141" t="s">
        <v>1533</v>
      </c>
      <c r="B354" s="80">
        <v>469</v>
      </c>
      <c r="C354" s="80">
        <v>169</v>
      </c>
      <c r="D354" s="80">
        <v>44922</v>
      </c>
      <c r="E354" s="167">
        <v>20538</v>
      </c>
      <c r="F354" s="73">
        <v>6.9</v>
      </c>
      <c r="G354">
        <v>77</v>
      </c>
      <c r="H354" s="72">
        <f t="shared" si="5"/>
        <v>0.45562130177514792</v>
      </c>
    </row>
    <row r="355" spans="1:8" x14ac:dyDescent="0.25">
      <c r="A355" s="141" t="s">
        <v>2299</v>
      </c>
      <c r="B355" s="80">
        <v>3414</v>
      </c>
      <c r="C355" s="80">
        <v>1124</v>
      </c>
      <c r="D355" s="80">
        <v>116458</v>
      </c>
      <c r="E355" s="167">
        <v>13075</v>
      </c>
      <c r="F355" s="73">
        <v>1.1000000000000001</v>
      </c>
      <c r="G355">
        <v>226</v>
      </c>
      <c r="H355" s="72">
        <f t="shared" si="5"/>
        <v>0.20106761565836298</v>
      </c>
    </row>
    <row r="356" spans="1:8" x14ac:dyDescent="0.25">
      <c r="A356" s="141" t="s">
        <v>1588</v>
      </c>
      <c r="B356" s="80">
        <v>426</v>
      </c>
      <c r="C356" s="80">
        <v>192</v>
      </c>
      <c r="D356" s="80">
        <v>43125</v>
      </c>
      <c r="E356" s="167">
        <v>21715</v>
      </c>
      <c r="F356" s="73">
        <v>2.4</v>
      </c>
      <c r="G356">
        <v>80</v>
      </c>
      <c r="H356" s="72">
        <f t="shared" si="5"/>
        <v>0.41666666666666669</v>
      </c>
    </row>
    <row r="357" spans="1:8" x14ac:dyDescent="0.25">
      <c r="A357" s="141" t="s">
        <v>2300</v>
      </c>
      <c r="B357" s="80">
        <v>156</v>
      </c>
      <c r="C357" s="80">
        <v>51</v>
      </c>
      <c r="D357" s="80">
        <v>61250</v>
      </c>
      <c r="E357" s="167">
        <v>17574</v>
      </c>
      <c r="F357" s="73">
        <v>0</v>
      </c>
      <c r="G357">
        <v>34</v>
      </c>
      <c r="H357" s="72">
        <f t="shared" si="5"/>
        <v>0.66666666666666663</v>
      </c>
    </row>
    <row r="358" spans="1:8" x14ac:dyDescent="0.25">
      <c r="A358" s="141" t="s">
        <v>1980</v>
      </c>
      <c r="B358" s="80">
        <v>203</v>
      </c>
      <c r="C358" s="80">
        <v>121</v>
      </c>
      <c r="D358" s="80">
        <v>32917</v>
      </c>
      <c r="E358" s="167">
        <v>15454</v>
      </c>
      <c r="F358" s="73">
        <v>0</v>
      </c>
      <c r="G358">
        <v>60</v>
      </c>
      <c r="H358" s="72">
        <f t="shared" si="5"/>
        <v>0.49586776859504134</v>
      </c>
    </row>
    <row r="359" spans="1:8" x14ac:dyDescent="0.25">
      <c r="A359" s="141" t="s">
        <v>1071</v>
      </c>
      <c r="B359" s="80">
        <v>1028</v>
      </c>
      <c r="C359" s="80">
        <v>594</v>
      </c>
      <c r="D359" s="80">
        <v>58125</v>
      </c>
      <c r="E359" s="167">
        <v>7963</v>
      </c>
      <c r="F359" s="73">
        <v>0.6</v>
      </c>
      <c r="G359">
        <v>96</v>
      </c>
      <c r="H359" s="72">
        <f t="shared" si="5"/>
        <v>0.16161616161616163</v>
      </c>
    </row>
    <row r="360" spans="1:8" x14ac:dyDescent="0.25">
      <c r="A360" s="141" t="s">
        <v>1860</v>
      </c>
      <c r="B360" s="80">
        <v>988</v>
      </c>
      <c r="C360" s="80">
        <v>429</v>
      </c>
      <c r="D360" s="80">
        <v>80357</v>
      </c>
      <c r="E360" s="167">
        <v>12225</v>
      </c>
      <c r="F360" s="73">
        <v>4.0999999999999996</v>
      </c>
      <c r="G360">
        <v>67</v>
      </c>
      <c r="H360" s="72">
        <f t="shared" si="5"/>
        <v>0.15617715617715619</v>
      </c>
    </row>
    <row r="361" spans="1:8" x14ac:dyDescent="0.25">
      <c r="A361" s="141" t="s">
        <v>1878</v>
      </c>
      <c r="B361" s="80">
        <v>416</v>
      </c>
      <c r="C361" s="80">
        <v>199</v>
      </c>
      <c r="D361" s="80">
        <v>54821</v>
      </c>
      <c r="E361" s="167">
        <v>11105</v>
      </c>
      <c r="F361" s="73">
        <v>15</v>
      </c>
      <c r="G361">
        <v>50</v>
      </c>
      <c r="H361" s="72">
        <f t="shared" si="5"/>
        <v>0.25125628140703515</v>
      </c>
    </row>
    <row r="362" spans="1:8" x14ac:dyDescent="0.25">
      <c r="A362" s="141" t="s">
        <v>1680</v>
      </c>
      <c r="B362" s="80">
        <v>22796</v>
      </c>
      <c r="C362" s="80">
        <v>9241</v>
      </c>
      <c r="D362" s="80">
        <v>75026</v>
      </c>
      <c r="E362" s="167">
        <v>6689</v>
      </c>
      <c r="F362" s="73">
        <v>1.7</v>
      </c>
      <c r="G362">
        <v>2112</v>
      </c>
      <c r="H362" s="72">
        <f t="shared" si="5"/>
        <v>0.2285466940807272</v>
      </c>
    </row>
    <row r="363" spans="1:8" x14ac:dyDescent="0.25">
      <c r="A363" s="141" t="s">
        <v>2200</v>
      </c>
      <c r="B363" s="80">
        <v>27</v>
      </c>
      <c r="C363" s="80">
        <v>12</v>
      </c>
      <c r="D363" s="80">
        <v>55625</v>
      </c>
      <c r="E363" s="167">
        <v>21007</v>
      </c>
      <c r="F363" s="73">
        <v>0</v>
      </c>
      <c r="G363">
        <v>0</v>
      </c>
      <c r="H363" s="72">
        <f t="shared" si="5"/>
        <v>0</v>
      </c>
    </row>
    <row r="364" spans="1:8" x14ac:dyDescent="0.25">
      <c r="A364" s="141" t="s">
        <v>1073</v>
      </c>
      <c r="B364" s="80">
        <v>2075</v>
      </c>
      <c r="C364" s="80">
        <v>899</v>
      </c>
      <c r="D364" s="80">
        <v>78292</v>
      </c>
      <c r="E364" s="167">
        <v>6396</v>
      </c>
      <c r="F364" s="73">
        <v>2.7</v>
      </c>
      <c r="G364">
        <v>254</v>
      </c>
      <c r="H364" s="72">
        <f t="shared" si="5"/>
        <v>0.28253615127919912</v>
      </c>
    </row>
    <row r="365" spans="1:8" x14ac:dyDescent="0.25">
      <c r="A365" s="141" t="s">
        <v>1075</v>
      </c>
      <c r="B365" s="80">
        <v>1299</v>
      </c>
      <c r="C365" s="80">
        <v>601</v>
      </c>
      <c r="D365" s="80">
        <v>57198</v>
      </c>
      <c r="E365" s="167">
        <v>3959</v>
      </c>
      <c r="F365" s="73">
        <v>3.2</v>
      </c>
      <c r="G365">
        <v>164</v>
      </c>
      <c r="H365" s="72">
        <f t="shared" si="5"/>
        <v>0.27287853577371046</v>
      </c>
    </row>
    <row r="366" spans="1:8" x14ac:dyDescent="0.25">
      <c r="A366" s="141" t="s">
        <v>1736</v>
      </c>
      <c r="B366" s="80">
        <v>227</v>
      </c>
      <c r="C366" s="80">
        <v>111</v>
      </c>
      <c r="D366" s="80">
        <v>45972</v>
      </c>
      <c r="E366" s="167">
        <v>3641</v>
      </c>
      <c r="F366" s="73">
        <v>1.7</v>
      </c>
      <c r="G366">
        <v>46</v>
      </c>
      <c r="H366" s="72">
        <f t="shared" si="5"/>
        <v>0.4144144144144144</v>
      </c>
    </row>
    <row r="367" spans="1:8" x14ac:dyDescent="0.25">
      <c r="A367" s="141" t="s">
        <v>1999</v>
      </c>
      <c r="B367" s="80">
        <v>92</v>
      </c>
      <c r="C367" s="80">
        <v>29</v>
      </c>
      <c r="D367" s="80">
        <v>53542</v>
      </c>
      <c r="E367" s="167">
        <v>20258</v>
      </c>
      <c r="F367" s="73">
        <v>15.8</v>
      </c>
      <c r="G367">
        <v>39</v>
      </c>
      <c r="H367" s="72">
        <f t="shared" si="5"/>
        <v>1.3448275862068966</v>
      </c>
    </row>
    <row r="368" spans="1:8" x14ac:dyDescent="0.25">
      <c r="A368" s="141" t="s">
        <v>1077</v>
      </c>
      <c r="B368" s="80">
        <v>1093</v>
      </c>
      <c r="C368" s="80">
        <v>561</v>
      </c>
      <c r="D368" s="80">
        <v>52270</v>
      </c>
      <c r="E368" s="167">
        <v>2674</v>
      </c>
      <c r="F368" s="73">
        <v>0.5</v>
      </c>
      <c r="G368">
        <v>267</v>
      </c>
      <c r="H368" s="72">
        <f t="shared" si="5"/>
        <v>0.47593582887700536</v>
      </c>
    </row>
    <row r="369" spans="1:8" x14ac:dyDescent="0.25">
      <c r="A369" s="141" t="s">
        <v>2301</v>
      </c>
      <c r="B369" s="80">
        <v>216</v>
      </c>
      <c r="C369" s="80">
        <v>73</v>
      </c>
      <c r="D369" s="80">
        <v>95000</v>
      </c>
      <c r="E369" s="167">
        <v>15224</v>
      </c>
      <c r="F369" s="73">
        <v>5.9</v>
      </c>
      <c r="G369">
        <v>1</v>
      </c>
      <c r="H369" s="72">
        <f t="shared" si="5"/>
        <v>1.3698630136986301E-2</v>
      </c>
    </row>
    <row r="370" spans="1:8" x14ac:dyDescent="0.25">
      <c r="A370" s="141" t="s">
        <v>1782</v>
      </c>
      <c r="B370" s="80">
        <v>926</v>
      </c>
      <c r="C370" s="80">
        <v>365</v>
      </c>
      <c r="D370" s="80">
        <v>74545</v>
      </c>
      <c r="E370" s="167">
        <v>10307</v>
      </c>
      <c r="F370" s="73">
        <v>1.4</v>
      </c>
      <c r="G370">
        <v>110</v>
      </c>
      <c r="H370" s="72">
        <f t="shared" si="5"/>
        <v>0.30136986301369861</v>
      </c>
    </row>
    <row r="371" spans="1:8" x14ac:dyDescent="0.25">
      <c r="A371" s="141" t="s">
        <v>1990</v>
      </c>
      <c r="B371" s="80">
        <v>684</v>
      </c>
      <c r="C371" s="80">
        <v>430</v>
      </c>
      <c r="D371" s="80">
        <v>38839</v>
      </c>
      <c r="E371" s="167">
        <v>6024</v>
      </c>
      <c r="F371" s="73">
        <v>3.9</v>
      </c>
      <c r="G371">
        <v>175</v>
      </c>
      <c r="H371" s="72">
        <f t="shared" si="5"/>
        <v>0.40697674418604651</v>
      </c>
    </row>
    <row r="372" spans="1:8" x14ac:dyDescent="0.25">
      <c r="A372" s="141" t="s">
        <v>1493</v>
      </c>
      <c r="B372" s="80">
        <v>216</v>
      </c>
      <c r="C372" s="80">
        <v>127</v>
      </c>
      <c r="D372" s="80">
        <v>44375</v>
      </c>
      <c r="E372" s="167">
        <v>36639</v>
      </c>
      <c r="F372" s="73">
        <v>4.4000000000000004</v>
      </c>
      <c r="G372">
        <v>63</v>
      </c>
      <c r="H372" s="72">
        <f t="shared" si="5"/>
        <v>0.49606299212598426</v>
      </c>
    </row>
    <row r="373" spans="1:8" x14ac:dyDescent="0.25">
      <c r="A373" s="141" t="s">
        <v>1683</v>
      </c>
      <c r="B373" s="80">
        <v>806</v>
      </c>
      <c r="C373" s="80">
        <v>419</v>
      </c>
      <c r="D373" s="80">
        <v>40962</v>
      </c>
      <c r="E373" s="167">
        <v>5898</v>
      </c>
      <c r="F373" s="73">
        <v>2.8</v>
      </c>
      <c r="G373">
        <v>183</v>
      </c>
      <c r="H373" s="72">
        <f t="shared" si="5"/>
        <v>0.43675417661097854</v>
      </c>
    </row>
    <row r="374" spans="1:8" x14ac:dyDescent="0.25">
      <c r="A374" s="141" t="s">
        <v>2302</v>
      </c>
      <c r="B374" s="80">
        <v>59</v>
      </c>
      <c r="C374" s="80">
        <v>32</v>
      </c>
      <c r="D374" s="80">
        <v>27917</v>
      </c>
      <c r="E374" s="167">
        <v>21165</v>
      </c>
      <c r="F374" s="73">
        <v>13.8</v>
      </c>
      <c r="G374">
        <v>31</v>
      </c>
      <c r="H374" s="72">
        <f t="shared" si="5"/>
        <v>0.96875</v>
      </c>
    </row>
    <row r="375" spans="1:8" x14ac:dyDescent="0.25">
      <c r="A375" s="141" t="s">
        <v>1904</v>
      </c>
      <c r="B375" s="80">
        <v>521</v>
      </c>
      <c r="C375" s="80">
        <v>370</v>
      </c>
      <c r="D375" s="80">
        <v>49934</v>
      </c>
      <c r="E375" s="167">
        <v>10560</v>
      </c>
      <c r="F375" s="73">
        <v>23.4</v>
      </c>
      <c r="G375">
        <v>126</v>
      </c>
      <c r="H375" s="72">
        <f t="shared" si="5"/>
        <v>0.34054054054054056</v>
      </c>
    </row>
    <row r="376" spans="1:8" x14ac:dyDescent="0.25">
      <c r="A376" s="141" t="s">
        <v>1992</v>
      </c>
      <c r="B376" s="80">
        <v>9577</v>
      </c>
      <c r="C376" s="80">
        <v>3761</v>
      </c>
      <c r="D376" s="80">
        <v>80500</v>
      </c>
      <c r="E376" s="167">
        <v>15651</v>
      </c>
      <c r="F376" s="73">
        <v>2</v>
      </c>
      <c r="G376">
        <v>1038</v>
      </c>
      <c r="H376" s="72">
        <f t="shared" si="5"/>
        <v>0.27599042807763891</v>
      </c>
    </row>
    <row r="377" spans="1:8" x14ac:dyDescent="0.25">
      <c r="A377" s="141" t="s">
        <v>2396</v>
      </c>
      <c r="B377" s="80">
        <v>701</v>
      </c>
      <c r="C377" s="80">
        <v>349</v>
      </c>
      <c r="D377" s="80">
        <v>69375</v>
      </c>
      <c r="E377" s="167">
        <v>17574</v>
      </c>
      <c r="F377" s="73">
        <v>1</v>
      </c>
      <c r="G377">
        <v>94</v>
      </c>
      <c r="H377" s="72">
        <f t="shared" si="5"/>
        <v>0.2693409742120344</v>
      </c>
    </row>
    <row r="378" spans="1:8" x14ac:dyDescent="0.25">
      <c r="A378" s="141" t="s">
        <v>1560</v>
      </c>
      <c r="B378" s="80">
        <v>232</v>
      </c>
      <c r="C378" s="80">
        <v>135</v>
      </c>
      <c r="D378" s="80">
        <v>43750</v>
      </c>
      <c r="E378" s="167">
        <v>18373</v>
      </c>
      <c r="F378" s="73">
        <v>1.6</v>
      </c>
      <c r="G378">
        <v>34</v>
      </c>
      <c r="H378" s="72">
        <f t="shared" si="5"/>
        <v>0.25185185185185183</v>
      </c>
    </row>
    <row r="379" spans="1:8" x14ac:dyDescent="0.25">
      <c r="A379" s="141" t="s">
        <v>1079</v>
      </c>
      <c r="B379" s="80">
        <v>15923</v>
      </c>
      <c r="C379" s="80">
        <v>8160</v>
      </c>
      <c r="D379" s="80">
        <v>47030</v>
      </c>
      <c r="E379" s="167">
        <v>3990</v>
      </c>
      <c r="F379" s="73">
        <v>3.9</v>
      </c>
      <c r="G379">
        <v>3914</v>
      </c>
      <c r="H379" s="72">
        <f t="shared" si="5"/>
        <v>0.47965686274509806</v>
      </c>
    </row>
    <row r="380" spans="1:8" x14ac:dyDescent="0.25">
      <c r="A380" s="141" t="s">
        <v>46</v>
      </c>
      <c r="B380" s="80">
        <v>118</v>
      </c>
      <c r="C380" s="80">
        <v>46</v>
      </c>
      <c r="D380" s="80">
        <v>99063</v>
      </c>
      <c r="E380" s="167">
        <v>7359</v>
      </c>
      <c r="F380" s="73">
        <v>0</v>
      </c>
      <c r="G380">
        <v>6</v>
      </c>
      <c r="H380" s="72">
        <f t="shared" si="5"/>
        <v>0.13043478260869565</v>
      </c>
    </row>
    <row r="381" spans="1:8" x14ac:dyDescent="0.25">
      <c r="A381" s="141" t="s">
        <v>1628</v>
      </c>
      <c r="B381" s="80">
        <v>657</v>
      </c>
      <c r="C381" s="80">
        <v>487</v>
      </c>
      <c r="D381" s="80">
        <v>37826</v>
      </c>
      <c r="E381" s="167">
        <v>3872</v>
      </c>
      <c r="F381" s="73">
        <v>8.4</v>
      </c>
      <c r="G381">
        <v>260</v>
      </c>
      <c r="H381" s="72">
        <f t="shared" si="5"/>
        <v>0.53388090349075978</v>
      </c>
    </row>
    <row r="382" spans="1:8" x14ac:dyDescent="0.25">
      <c r="A382" s="141" t="s">
        <v>2303</v>
      </c>
      <c r="B382" s="80">
        <v>35</v>
      </c>
      <c r="C382" s="80">
        <v>13</v>
      </c>
      <c r="D382" s="80"/>
      <c r="E382" s="167" t="s">
        <v>0</v>
      </c>
      <c r="F382" s="73">
        <v>26.3</v>
      </c>
      <c r="G382">
        <v>14</v>
      </c>
      <c r="H382" s="72">
        <f t="shared" si="5"/>
        <v>1.0769230769230769</v>
      </c>
    </row>
    <row r="383" spans="1:8" x14ac:dyDescent="0.25">
      <c r="A383" s="141" t="s">
        <v>1947</v>
      </c>
      <c r="B383" s="80">
        <v>819</v>
      </c>
      <c r="C383" s="80">
        <v>368</v>
      </c>
      <c r="D383" s="80">
        <v>68077</v>
      </c>
      <c r="E383" s="167">
        <v>11512</v>
      </c>
      <c r="F383" s="73">
        <v>3.6</v>
      </c>
      <c r="G383">
        <v>83</v>
      </c>
      <c r="H383" s="72">
        <f t="shared" si="5"/>
        <v>0.22554347826086957</v>
      </c>
    </row>
    <row r="384" spans="1:8" x14ac:dyDescent="0.25">
      <c r="A384" s="141" t="s">
        <v>1949</v>
      </c>
      <c r="B384" s="80">
        <v>1007</v>
      </c>
      <c r="C384" s="80">
        <v>439</v>
      </c>
      <c r="D384" s="80">
        <v>37177</v>
      </c>
      <c r="E384" s="167">
        <v>5107</v>
      </c>
      <c r="F384" s="73">
        <v>14.7</v>
      </c>
      <c r="G384">
        <v>322</v>
      </c>
      <c r="H384" s="72">
        <f t="shared" si="5"/>
        <v>0.73348519362186793</v>
      </c>
    </row>
    <row r="385" spans="1:8" x14ac:dyDescent="0.25">
      <c r="A385" s="141" t="s">
        <v>1592</v>
      </c>
      <c r="B385" s="80">
        <v>1499</v>
      </c>
      <c r="C385" s="80">
        <v>777</v>
      </c>
      <c r="D385" s="80">
        <v>35313</v>
      </c>
      <c r="E385" s="167">
        <v>7539</v>
      </c>
      <c r="F385" s="73">
        <v>8.6999999999999993</v>
      </c>
      <c r="G385">
        <v>579</v>
      </c>
      <c r="H385" s="72">
        <f t="shared" si="5"/>
        <v>0.74517374517374513</v>
      </c>
    </row>
    <row r="386" spans="1:8" x14ac:dyDescent="0.25">
      <c r="A386" s="141" t="s">
        <v>1624</v>
      </c>
      <c r="B386" s="80">
        <v>317</v>
      </c>
      <c r="C386" s="80">
        <v>149</v>
      </c>
      <c r="D386" s="80">
        <v>46875</v>
      </c>
      <c r="E386" s="167">
        <v>17401</v>
      </c>
      <c r="F386" s="73">
        <v>0</v>
      </c>
      <c r="G386">
        <v>42</v>
      </c>
      <c r="H386" s="72">
        <f t="shared" ref="H386:H449" si="6">G386/C386</f>
        <v>0.28187919463087246</v>
      </c>
    </row>
    <row r="387" spans="1:8" x14ac:dyDescent="0.25">
      <c r="A387" s="141" t="s">
        <v>1081</v>
      </c>
      <c r="B387" s="80">
        <v>585</v>
      </c>
      <c r="C387" s="80">
        <v>288</v>
      </c>
      <c r="D387" s="80">
        <v>46563</v>
      </c>
      <c r="E387" s="167">
        <v>8606</v>
      </c>
      <c r="F387" s="73">
        <v>3.8</v>
      </c>
      <c r="G387">
        <v>118</v>
      </c>
      <c r="H387" s="72">
        <f t="shared" si="6"/>
        <v>0.40972222222222221</v>
      </c>
    </row>
    <row r="388" spans="1:8" x14ac:dyDescent="0.25">
      <c r="A388" s="141" t="s">
        <v>1550</v>
      </c>
      <c r="B388" s="80">
        <v>592</v>
      </c>
      <c r="C388" s="80">
        <v>292</v>
      </c>
      <c r="D388" s="80">
        <v>41771</v>
      </c>
      <c r="E388" s="167">
        <v>14033</v>
      </c>
      <c r="F388" s="73">
        <v>0</v>
      </c>
      <c r="G388">
        <v>85</v>
      </c>
      <c r="H388" s="72">
        <f t="shared" si="6"/>
        <v>0.2910958904109589</v>
      </c>
    </row>
    <row r="389" spans="1:8" x14ac:dyDescent="0.25">
      <c r="A389" s="141" t="s">
        <v>1083</v>
      </c>
      <c r="B389" s="80">
        <v>674</v>
      </c>
      <c r="C389" s="80">
        <v>332</v>
      </c>
      <c r="D389" s="80">
        <v>66544</v>
      </c>
      <c r="E389" s="167">
        <v>8801</v>
      </c>
      <c r="F389" s="73">
        <v>0.5</v>
      </c>
      <c r="G389">
        <v>79</v>
      </c>
      <c r="H389" s="72">
        <f t="shared" si="6"/>
        <v>0.23795180722891565</v>
      </c>
    </row>
    <row r="390" spans="1:8" x14ac:dyDescent="0.25">
      <c r="A390" s="141" t="s">
        <v>1085</v>
      </c>
      <c r="B390" s="80">
        <v>180</v>
      </c>
      <c r="C390" s="80">
        <v>88</v>
      </c>
      <c r="D390" s="80">
        <v>48750</v>
      </c>
      <c r="E390" s="167">
        <v>17563</v>
      </c>
      <c r="F390" s="73">
        <v>0.8</v>
      </c>
      <c r="G390">
        <v>49</v>
      </c>
      <c r="H390" s="72">
        <f t="shared" si="6"/>
        <v>0.55681818181818177</v>
      </c>
    </row>
    <row r="391" spans="1:8" x14ac:dyDescent="0.25">
      <c r="A391" s="141" t="s">
        <v>1737</v>
      </c>
      <c r="B391" s="80">
        <v>380</v>
      </c>
      <c r="C391" s="80">
        <v>156</v>
      </c>
      <c r="D391" s="80">
        <v>57813</v>
      </c>
      <c r="E391" s="167">
        <v>8238</v>
      </c>
      <c r="F391" s="73">
        <v>0</v>
      </c>
      <c r="G391">
        <v>52</v>
      </c>
      <c r="H391" s="72">
        <f t="shared" si="6"/>
        <v>0.33333333333333331</v>
      </c>
    </row>
    <row r="392" spans="1:8" x14ac:dyDescent="0.25">
      <c r="A392" s="141" t="s">
        <v>1846</v>
      </c>
      <c r="B392" s="80">
        <v>91</v>
      </c>
      <c r="C392" s="80">
        <v>67</v>
      </c>
      <c r="D392" s="80">
        <v>38250</v>
      </c>
      <c r="E392" s="167">
        <v>15012</v>
      </c>
      <c r="F392" s="73">
        <v>3.5</v>
      </c>
      <c r="G392">
        <v>26</v>
      </c>
      <c r="H392" s="72">
        <f t="shared" si="6"/>
        <v>0.38805970149253732</v>
      </c>
    </row>
    <row r="393" spans="1:8" x14ac:dyDescent="0.25">
      <c r="A393" s="141" t="s">
        <v>1984</v>
      </c>
      <c r="B393" s="80">
        <v>82</v>
      </c>
      <c r="C393" s="80">
        <v>25</v>
      </c>
      <c r="D393" s="80">
        <v>72917</v>
      </c>
      <c r="E393" s="167">
        <v>17335</v>
      </c>
      <c r="F393" s="73">
        <v>0</v>
      </c>
      <c r="G393">
        <v>5</v>
      </c>
      <c r="H393" s="72">
        <f t="shared" si="6"/>
        <v>0.2</v>
      </c>
    </row>
    <row r="394" spans="1:8" x14ac:dyDescent="0.25">
      <c r="A394" s="141" t="s">
        <v>45</v>
      </c>
      <c r="B394" s="80">
        <v>176</v>
      </c>
      <c r="C394" s="80">
        <v>85</v>
      </c>
      <c r="D394" s="80">
        <v>59167</v>
      </c>
      <c r="E394" s="167">
        <v>15152</v>
      </c>
      <c r="F394" s="73">
        <v>0</v>
      </c>
      <c r="G394">
        <v>22</v>
      </c>
      <c r="H394" s="72">
        <f t="shared" si="6"/>
        <v>0.25882352941176473</v>
      </c>
    </row>
    <row r="395" spans="1:8" x14ac:dyDescent="0.25">
      <c r="A395" s="141" t="s">
        <v>1458</v>
      </c>
      <c r="B395" s="80">
        <v>18400</v>
      </c>
      <c r="C395" s="80">
        <v>9346</v>
      </c>
      <c r="D395" s="80">
        <v>59141</v>
      </c>
      <c r="E395" s="167">
        <v>5639</v>
      </c>
      <c r="F395" s="73">
        <v>5.4</v>
      </c>
      <c r="G395">
        <v>3697</v>
      </c>
      <c r="H395" s="72">
        <f t="shared" si="6"/>
        <v>0.39557029745345601</v>
      </c>
    </row>
    <row r="396" spans="1:8" x14ac:dyDescent="0.25">
      <c r="A396" s="141" t="s">
        <v>1926</v>
      </c>
      <c r="B396" s="80">
        <v>984</v>
      </c>
      <c r="C396" s="80">
        <v>479</v>
      </c>
      <c r="D396" s="80">
        <v>43958</v>
      </c>
      <c r="E396" s="167">
        <v>8253</v>
      </c>
      <c r="F396" s="73">
        <v>5.3</v>
      </c>
      <c r="G396">
        <v>295</v>
      </c>
      <c r="H396" s="72">
        <f t="shared" si="6"/>
        <v>0.615866388308977</v>
      </c>
    </row>
    <row r="397" spans="1:8" x14ac:dyDescent="0.25">
      <c r="A397" s="141" t="s">
        <v>1658</v>
      </c>
      <c r="B397" s="80">
        <v>1897</v>
      </c>
      <c r="C397" s="80">
        <v>889</v>
      </c>
      <c r="D397" s="80">
        <v>61400</v>
      </c>
      <c r="E397" s="167">
        <v>11087</v>
      </c>
      <c r="F397" s="73">
        <v>1.3</v>
      </c>
      <c r="G397">
        <v>201</v>
      </c>
      <c r="H397" s="72">
        <f t="shared" si="6"/>
        <v>0.22609673790776152</v>
      </c>
    </row>
    <row r="398" spans="1:8" x14ac:dyDescent="0.25">
      <c r="A398" s="141" t="s">
        <v>1804</v>
      </c>
      <c r="B398" s="80">
        <v>2099</v>
      </c>
      <c r="C398" s="80">
        <v>975</v>
      </c>
      <c r="D398" s="80">
        <v>58750</v>
      </c>
      <c r="E398" s="167">
        <v>9912</v>
      </c>
      <c r="F398" s="73">
        <v>14.9</v>
      </c>
      <c r="G398">
        <v>264</v>
      </c>
      <c r="H398" s="72">
        <f t="shared" si="6"/>
        <v>0.27076923076923076</v>
      </c>
    </row>
    <row r="399" spans="1:8" x14ac:dyDescent="0.25">
      <c r="A399" s="141" t="s">
        <v>44</v>
      </c>
      <c r="B399" s="80">
        <v>25</v>
      </c>
      <c r="C399" s="80">
        <v>30</v>
      </c>
      <c r="D399" s="80">
        <v>34375</v>
      </c>
      <c r="E399" s="167">
        <v>2815</v>
      </c>
      <c r="F399" s="73">
        <v>0</v>
      </c>
      <c r="G399">
        <v>15</v>
      </c>
      <c r="H399" s="72">
        <f t="shared" si="6"/>
        <v>0.5</v>
      </c>
    </row>
    <row r="400" spans="1:8" x14ac:dyDescent="0.25">
      <c r="A400" s="141" t="s">
        <v>1522</v>
      </c>
      <c r="B400" s="80">
        <v>15008</v>
      </c>
      <c r="C400" s="80">
        <v>5757</v>
      </c>
      <c r="D400" s="80">
        <v>92032</v>
      </c>
      <c r="E400" s="167">
        <v>6108</v>
      </c>
      <c r="F400" s="73">
        <v>2.2999999999999998</v>
      </c>
      <c r="G400">
        <v>899</v>
      </c>
      <c r="H400" s="72">
        <f t="shared" si="6"/>
        <v>0.15615772103526143</v>
      </c>
    </row>
    <row r="401" spans="1:8" x14ac:dyDescent="0.25">
      <c r="A401" s="141" t="s">
        <v>2304</v>
      </c>
      <c r="B401" s="80">
        <v>48</v>
      </c>
      <c r="C401" s="80">
        <v>32</v>
      </c>
      <c r="D401" s="80"/>
      <c r="E401" s="167" t="s">
        <v>0</v>
      </c>
      <c r="F401" s="73">
        <v>0</v>
      </c>
      <c r="G401">
        <v>12</v>
      </c>
      <c r="H401" s="72">
        <f t="shared" si="6"/>
        <v>0.375</v>
      </c>
    </row>
    <row r="402" spans="1:8" x14ac:dyDescent="0.25">
      <c r="A402" s="141" t="s">
        <v>1087</v>
      </c>
      <c r="B402" s="80">
        <v>13935</v>
      </c>
      <c r="C402" s="80">
        <v>6868</v>
      </c>
      <c r="D402" s="80">
        <v>56083</v>
      </c>
      <c r="E402" s="167">
        <v>3871</v>
      </c>
      <c r="F402" s="73">
        <v>4.2</v>
      </c>
      <c r="G402">
        <v>2387</v>
      </c>
      <c r="H402" s="72">
        <f t="shared" si="6"/>
        <v>0.34755387303436225</v>
      </c>
    </row>
    <row r="403" spans="1:8" x14ac:dyDescent="0.25">
      <c r="A403" s="141" t="s">
        <v>2007</v>
      </c>
      <c r="B403" s="80">
        <v>48</v>
      </c>
      <c r="C403" s="80">
        <v>35</v>
      </c>
      <c r="D403" s="80">
        <v>58750</v>
      </c>
      <c r="E403" s="167">
        <v>10163</v>
      </c>
      <c r="F403" s="73">
        <v>10.3</v>
      </c>
      <c r="G403">
        <v>9</v>
      </c>
      <c r="H403" s="72">
        <f t="shared" si="6"/>
        <v>0.25714285714285712</v>
      </c>
    </row>
    <row r="404" spans="1:8" x14ac:dyDescent="0.25">
      <c r="A404" s="141" t="s">
        <v>2305</v>
      </c>
      <c r="B404" s="80">
        <v>3778</v>
      </c>
      <c r="C404" s="80">
        <v>1165</v>
      </c>
      <c r="D404" s="80">
        <v>180357</v>
      </c>
      <c r="E404" s="167">
        <v>58652</v>
      </c>
      <c r="F404" s="73">
        <v>0</v>
      </c>
      <c r="G404">
        <v>329</v>
      </c>
      <c r="H404" s="72">
        <f t="shared" si="6"/>
        <v>0.28240343347639485</v>
      </c>
    </row>
    <row r="405" spans="1:8" x14ac:dyDescent="0.25">
      <c r="A405" s="141" t="s">
        <v>43</v>
      </c>
      <c r="B405" s="80">
        <v>148</v>
      </c>
      <c r="C405" s="80">
        <v>58</v>
      </c>
      <c r="D405" s="80">
        <v>22446</v>
      </c>
      <c r="E405" s="167">
        <v>20251</v>
      </c>
      <c r="F405" s="73">
        <v>13.8</v>
      </c>
      <c r="G405">
        <v>123</v>
      </c>
      <c r="H405" s="72">
        <f t="shared" si="6"/>
        <v>2.1206896551724137</v>
      </c>
    </row>
    <row r="406" spans="1:8" x14ac:dyDescent="0.25">
      <c r="A406" s="141" t="s">
        <v>1703</v>
      </c>
      <c r="B406" s="80">
        <v>5876</v>
      </c>
      <c r="C406" s="80">
        <v>3156</v>
      </c>
      <c r="D406" s="80">
        <v>47301</v>
      </c>
      <c r="E406" s="167">
        <v>5725</v>
      </c>
      <c r="F406" s="73">
        <v>7.9</v>
      </c>
      <c r="G406">
        <v>1356</v>
      </c>
      <c r="H406" s="72">
        <f t="shared" si="6"/>
        <v>0.42965779467680609</v>
      </c>
    </row>
    <row r="407" spans="1:8" x14ac:dyDescent="0.25">
      <c r="A407" s="141" t="s">
        <v>1593</v>
      </c>
      <c r="B407" s="80">
        <v>35492</v>
      </c>
      <c r="C407" s="80">
        <v>15059</v>
      </c>
      <c r="D407" s="80">
        <v>83155</v>
      </c>
      <c r="E407" s="167">
        <v>5065</v>
      </c>
      <c r="F407" s="73">
        <v>3.3</v>
      </c>
      <c r="G407">
        <v>4970</v>
      </c>
      <c r="H407" s="72">
        <f t="shared" si="6"/>
        <v>0.33003519490005978</v>
      </c>
    </row>
    <row r="408" spans="1:8" x14ac:dyDescent="0.25">
      <c r="A408" s="141" t="s">
        <v>1617</v>
      </c>
      <c r="B408" s="80">
        <v>171</v>
      </c>
      <c r="C408" s="80">
        <v>82</v>
      </c>
      <c r="D408" s="80">
        <v>51250</v>
      </c>
      <c r="E408" s="167">
        <v>19940</v>
      </c>
      <c r="F408" s="73">
        <v>0</v>
      </c>
      <c r="G408">
        <v>36</v>
      </c>
      <c r="H408" s="72">
        <f t="shared" si="6"/>
        <v>0.43902439024390244</v>
      </c>
    </row>
    <row r="409" spans="1:8" x14ac:dyDescent="0.25">
      <c r="A409" s="141" t="s">
        <v>1989</v>
      </c>
      <c r="B409" s="80">
        <v>93</v>
      </c>
      <c r="C409" s="80">
        <v>46</v>
      </c>
      <c r="D409" s="80">
        <v>49063</v>
      </c>
      <c r="E409" s="167">
        <v>45836</v>
      </c>
      <c r="F409" s="73">
        <v>0</v>
      </c>
      <c r="G409">
        <v>18</v>
      </c>
      <c r="H409" s="72">
        <f t="shared" si="6"/>
        <v>0.39130434782608697</v>
      </c>
    </row>
    <row r="410" spans="1:8" x14ac:dyDescent="0.25">
      <c r="A410" s="141" t="s">
        <v>1816</v>
      </c>
      <c r="B410" s="80">
        <v>505</v>
      </c>
      <c r="C410" s="80">
        <v>259</v>
      </c>
      <c r="D410" s="80">
        <v>44250</v>
      </c>
      <c r="E410" s="167">
        <v>13468</v>
      </c>
      <c r="F410" s="73">
        <v>6.8</v>
      </c>
      <c r="G410">
        <v>141</v>
      </c>
      <c r="H410" s="72">
        <f t="shared" si="6"/>
        <v>0.54440154440154442</v>
      </c>
    </row>
    <row r="411" spans="1:8" x14ac:dyDescent="0.25">
      <c r="A411" s="141" t="s">
        <v>1874</v>
      </c>
      <c r="B411" s="80">
        <v>6016</v>
      </c>
      <c r="C411" s="80">
        <v>2272</v>
      </c>
      <c r="D411" s="80">
        <v>73580</v>
      </c>
      <c r="E411" s="167">
        <v>10173</v>
      </c>
      <c r="F411" s="73">
        <v>2.2999999999999998</v>
      </c>
      <c r="G411">
        <v>1240</v>
      </c>
      <c r="H411" s="72">
        <f t="shared" si="6"/>
        <v>0.54577464788732399</v>
      </c>
    </row>
    <row r="412" spans="1:8" x14ac:dyDescent="0.25">
      <c r="A412" s="141" t="s">
        <v>1900</v>
      </c>
      <c r="B412" s="80">
        <v>698</v>
      </c>
      <c r="C412" s="80">
        <v>531</v>
      </c>
      <c r="D412" s="80">
        <v>31875</v>
      </c>
      <c r="E412" s="167">
        <v>5114</v>
      </c>
      <c r="F412" s="73">
        <v>11.8</v>
      </c>
      <c r="G412">
        <v>268</v>
      </c>
      <c r="H412" s="72">
        <f t="shared" si="6"/>
        <v>0.50470809792843696</v>
      </c>
    </row>
    <row r="413" spans="1:8" x14ac:dyDescent="0.25">
      <c r="A413" s="141" t="s">
        <v>1966</v>
      </c>
      <c r="B413" s="80">
        <v>617</v>
      </c>
      <c r="C413" s="80">
        <v>380</v>
      </c>
      <c r="D413" s="80">
        <v>47917</v>
      </c>
      <c r="E413" s="167">
        <v>11495</v>
      </c>
      <c r="F413" s="73">
        <v>2.2999999999999998</v>
      </c>
      <c r="G413">
        <v>117</v>
      </c>
      <c r="H413" s="72">
        <f t="shared" si="6"/>
        <v>0.30789473684210528</v>
      </c>
    </row>
    <row r="414" spans="1:8" x14ac:dyDescent="0.25">
      <c r="A414" s="141" t="s">
        <v>1534</v>
      </c>
      <c r="B414" s="80">
        <v>3208</v>
      </c>
      <c r="C414" s="80">
        <v>1688</v>
      </c>
      <c r="D414" s="80">
        <v>63125</v>
      </c>
      <c r="E414" s="167">
        <v>8922</v>
      </c>
      <c r="F414" s="73">
        <v>4.2</v>
      </c>
      <c r="G414">
        <v>676</v>
      </c>
      <c r="H414" s="72">
        <f t="shared" si="6"/>
        <v>0.40047393364928913</v>
      </c>
    </row>
    <row r="415" spans="1:8" x14ac:dyDescent="0.25">
      <c r="A415" s="141" t="s">
        <v>1569</v>
      </c>
      <c r="B415" s="80">
        <v>2502</v>
      </c>
      <c r="C415" s="80">
        <v>1041</v>
      </c>
      <c r="D415" s="80">
        <v>61452</v>
      </c>
      <c r="E415" s="167">
        <v>7467</v>
      </c>
      <c r="F415" s="73">
        <v>5.9</v>
      </c>
      <c r="G415">
        <v>427</v>
      </c>
      <c r="H415" s="72">
        <f t="shared" si="6"/>
        <v>0.4101825168107589</v>
      </c>
    </row>
    <row r="416" spans="1:8" x14ac:dyDescent="0.25">
      <c r="A416" s="141" t="s">
        <v>2026</v>
      </c>
      <c r="B416" s="80">
        <v>671</v>
      </c>
      <c r="C416" s="80">
        <v>343</v>
      </c>
      <c r="D416" s="80">
        <v>42273</v>
      </c>
      <c r="E416" s="167">
        <v>11097</v>
      </c>
      <c r="F416" s="73">
        <v>6.5</v>
      </c>
      <c r="G416">
        <v>248</v>
      </c>
      <c r="H416" s="72">
        <f t="shared" si="6"/>
        <v>0.72303206997084546</v>
      </c>
    </row>
    <row r="417" spans="1:8" x14ac:dyDescent="0.25">
      <c r="A417" s="141" t="s">
        <v>2002</v>
      </c>
      <c r="B417" s="80">
        <v>342</v>
      </c>
      <c r="C417" s="80">
        <v>208</v>
      </c>
      <c r="D417" s="80">
        <v>40000</v>
      </c>
      <c r="E417" s="167">
        <v>3873</v>
      </c>
      <c r="F417" s="73">
        <v>7.7</v>
      </c>
      <c r="G417">
        <v>98</v>
      </c>
      <c r="H417" s="72">
        <f t="shared" si="6"/>
        <v>0.47115384615384615</v>
      </c>
    </row>
    <row r="418" spans="1:8" x14ac:dyDescent="0.25">
      <c r="A418" s="141" t="s">
        <v>2306</v>
      </c>
      <c r="B418" s="80">
        <v>470</v>
      </c>
      <c r="C418" s="80">
        <v>193</v>
      </c>
      <c r="D418" s="80">
        <v>51875</v>
      </c>
      <c r="E418" s="167">
        <v>9877</v>
      </c>
      <c r="F418" s="73">
        <v>1.7</v>
      </c>
      <c r="G418">
        <v>132</v>
      </c>
      <c r="H418" s="72">
        <f t="shared" si="6"/>
        <v>0.68393782383419688</v>
      </c>
    </row>
    <row r="419" spans="1:8" x14ac:dyDescent="0.25">
      <c r="A419" s="141" t="s">
        <v>1944</v>
      </c>
      <c r="B419" s="80">
        <v>14</v>
      </c>
      <c r="C419" s="80">
        <v>13</v>
      </c>
      <c r="D419" s="80"/>
      <c r="E419" s="167" t="s">
        <v>0</v>
      </c>
      <c r="F419" s="73">
        <v>0</v>
      </c>
      <c r="G419">
        <v>0</v>
      </c>
      <c r="H419" s="72">
        <f t="shared" si="6"/>
        <v>0</v>
      </c>
    </row>
    <row r="420" spans="1:8" x14ac:dyDescent="0.25">
      <c r="A420" s="141" t="s">
        <v>1089</v>
      </c>
      <c r="B420" s="80">
        <v>6289</v>
      </c>
      <c r="C420" s="80">
        <v>2052</v>
      </c>
      <c r="D420" s="80">
        <v>89125</v>
      </c>
      <c r="E420" s="167">
        <v>12199</v>
      </c>
      <c r="F420" s="73">
        <v>3.6</v>
      </c>
      <c r="G420">
        <v>889</v>
      </c>
      <c r="H420" s="72">
        <f t="shared" si="6"/>
        <v>0.43323586744639375</v>
      </c>
    </row>
    <row r="421" spans="1:8" x14ac:dyDescent="0.25">
      <c r="A421" s="141" t="s">
        <v>1746</v>
      </c>
      <c r="B421" s="80">
        <v>421</v>
      </c>
      <c r="C421" s="80">
        <v>195</v>
      </c>
      <c r="D421" s="80">
        <v>60250</v>
      </c>
      <c r="E421" s="167">
        <v>6724</v>
      </c>
      <c r="F421" s="73">
        <v>1.9</v>
      </c>
      <c r="G421">
        <v>70</v>
      </c>
      <c r="H421" s="72">
        <f t="shared" si="6"/>
        <v>0.35897435897435898</v>
      </c>
    </row>
    <row r="422" spans="1:8" x14ac:dyDescent="0.25">
      <c r="A422" s="141" t="s">
        <v>1648</v>
      </c>
      <c r="B422" s="80">
        <v>747</v>
      </c>
      <c r="C422" s="80">
        <v>477</v>
      </c>
      <c r="D422" s="80">
        <v>48462</v>
      </c>
      <c r="E422" s="167">
        <v>7176</v>
      </c>
      <c r="F422" s="73">
        <v>1.9</v>
      </c>
      <c r="G422">
        <v>146</v>
      </c>
      <c r="H422" s="72">
        <f t="shared" si="6"/>
        <v>0.30607966457023061</v>
      </c>
    </row>
    <row r="423" spans="1:8" x14ac:dyDescent="0.25">
      <c r="A423" s="141" t="s">
        <v>1696</v>
      </c>
      <c r="B423" s="80">
        <v>737</v>
      </c>
      <c r="C423" s="80">
        <v>317</v>
      </c>
      <c r="D423" s="80">
        <v>47273</v>
      </c>
      <c r="E423" s="167">
        <v>12691</v>
      </c>
      <c r="F423" s="73">
        <v>13.3</v>
      </c>
      <c r="G423">
        <v>212</v>
      </c>
      <c r="H423" s="72">
        <f t="shared" si="6"/>
        <v>0.66876971608832803</v>
      </c>
    </row>
    <row r="424" spans="1:8" x14ac:dyDescent="0.25">
      <c r="A424" s="141" t="s">
        <v>1091</v>
      </c>
      <c r="B424" s="80">
        <v>6425</v>
      </c>
      <c r="C424" s="80">
        <v>2506</v>
      </c>
      <c r="D424" s="80">
        <v>78353</v>
      </c>
      <c r="E424" s="167">
        <v>5876</v>
      </c>
      <c r="F424" s="73">
        <v>1.9</v>
      </c>
      <c r="G424">
        <v>510</v>
      </c>
      <c r="H424" s="72">
        <f t="shared" si="6"/>
        <v>0.20351157222665603</v>
      </c>
    </row>
    <row r="425" spans="1:8" x14ac:dyDescent="0.25">
      <c r="A425" s="141" t="s">
        <v>1598</v>
      </c>
      <c r="B425" s="80">
        <v>1255</v>
      </c>
      <c r="C425" s="80">
        <v>650</v>
      </c>
      <c r="D425" s="80">
        <v>43967</v>
      </c>
      <c r="E425" s="167">
        <v>4887</v>
      </c>
      <c r="F425" s="73">
        <v>6.6</v>
      </c>
      <c r="G425">
        <v>375</v>
      </c>
      <c r="H425" s="72">
        <f t="shared" si="6"/>
        <v>0.57692307692307687</v>
      </c>
    </row>
    <row r="426" spans="1:8" x14ac:dyDescent="0.25">
      <c r="A426" s="141" t="s">
        <v>1757</v>
      </c>
      <c r="B426" s="80">
        <v>279</v>
      </c>
      <c r="C426" s="80">
        <v>170</v>
      </c>
      <c r="D426" s="80">
        <v>53125</v>
      </c>
      <c r="E426" s="167">
        <v>51779</v>
      </c>
      <c r="F426" s="73">
        <v>0</v>
      </c>
      <c r="G426">
        <v>97</v>
      </c>
      <c r="H426" s="72">
        <f t="shared" si="6"/>
        <v>0.57058823529411762</v>
      </c>
    </row>
    <row r="427" spans="1:8" x14ac:dyDescent="0.25">
      <c r="A427" s="141" t="s">
        <v>1556</v>
      </c>
      <c r="B427" s="80">
        <v>432</v>
      </c>
      <c r="C427" s="80">
        <v>188</v>
      </c>
      <c r="D427" s="80">
        <v>54423</v>
      </c>
      <c r="E427" s="167">
        <v>9365</v>
      </c>
      <c r="F427" s="73">
        <v>1.5</v>
      </c>
      <c r="G427">
        <v>54</v>
      </c>
      <c r="H427" s="72">
        <f t="shared" si="6"/>
        <v>0.28723404255319152</v>
      </c>
    </row>
    <row r="428" spans="1:8" x14ac:dyDescent="0.25">
      <c r="A428" s="141" t="s">
        <v>1964</v>
      </c>
      <c r="B428" s="80">
        <v>211</v>
      </c>
      <c r="C428" s="80">
        <v>126</v>
      </c>
      <c r="D428" s="80">
        <v>65625</v>
      </c>
      <c r="E428" s="167">
        <v>18395</v>
      </c>
      <c r="F428" s="73">
        <v>0.8</v>
      </c>
      <c r="G428">
        <v>12</v>
      </c>
      <c r="H428" s="72">
        <f t="shared" si="6"/>
        <v>9.5238095238095233E-2</v>
      </c>
    </row>
    <row r="429" spans="1:8" x14ac:dyDescent="0.25">
      <c r="A429" s="141" t="s">
        <v>1994</v>
      </c>
      <c r="B429" s="80">
        <v>59</v>
      </c>
      <c r="C429" s="80">
        <v>35</v>
      </c>
      <c r="D429" s="80">
        <v>53194</v>
      </c>
      <c r="E429" s="167">
        <v>30888</v>
      </c>
      <c r="F429" s="73">
        <v>0</v>
      </c>
      <c r="G429">
        <v>24</v>
      </c>
      <c r="H429" s="72">
        <f t="shared" si="6"/>
        <v>0.68571428571428572</v>
      </c>
    </row>
    <row r="430" spans="1:8" x14ac:dyDescent="0.25">
      <c r="A430" s="141" t="s">
        <v>1914</v>
      </c>
      <c r="B430" s="80">
        <v>229</v>
      </c>
      <c r="C430" s="80">
        <v>128</v>
      </c>
      <c r="D430" s="80">
        <v>47917</v>
      </c>
      <c r="E430" s="167">
        <v>10860</v>
      </c>
      <c r="F430" s="73">
        <v>10.199999999999999</v>
      </c>
      <c r="G430">
        <v>51</v>
      </c>
      <c r="H430" s="72">
        <f t="shared" si="6"/>
        <v>0.3984375</v>
      </c>
    </row>
    <row r="431" spans="1:8" x14ac:dyDescent="0.25">
      <c r="A431" s="141" t="s">
        <v>2024</v>
      </c>
      <c r="B431" s="80">
        <v>40</v>
      </c>
      <c r="C431" s="80">
        <v>22</v>
      </c>
      <c r="D431" s="80">
        <v>50000</v>
      </c>
      <c r="E431" s="167">
        <v>7561</v>
      </c>
      <c r="F431" s="73">
        <v>0</v>
      </c>
      <c r="G431">
        <v>0</v>
      </c>
      <c r="H431" s="72">
        <f t="shared" si="6"/>
        <v>0</v>
      </c>
    </row>
    <row r="432" spans="1:8" x14ac:dyDescent="0.25">
      <c r="A432" s="141" t="s">
        <v>1668</v>
      </c>
      <c r="B432" s="80">
        <v>1865</v>
      </c>
      <c r="C432" s="80">
        <v>824</v>
      </c>
      <c r="D432" s="80">
        <v>60568</v>
      </c>
      <c r="E432" s="167">
        <v>7499</v>
      </c>
      <c r="F432" s="73">
        <v>4.3</v>
      </c>
      <c r="G432">
        <v>276</v>
      </c>
      <c r="H432" s="72">
        <f t="shared" si="6"/>
        <v>0.33495145631067963</v>
      </c>
    </row>
    <row r="433" spans="1:8" x14ac:dyDescent="0.25">
      <c r="A433" s="141" t="s">
        <v>1093</v>
      </c>
      <c r="B433" s="80">
        <v>714</v>
      </c>
      <c r="C433" s="80">
        <v>353</v>
      </c>
      <c r="D433" s="80">
        <v>41607</v>
      </c>
      <c r="E433" s="167">
        <v>9126</v>
      </c>
      <c r="F433" s="73">
        <v>2.8</v>
      </c>
      <c r="G433">
        <v>201</v>
      </c>
      <c r="H433" s="72">
        <f t="shared" si="6"/>
        <v>0.56940509915014159</v>
      </c>
    </row>
    <row r="434" spans="1:8" x14ac:dyDescent="0.25">
      <c r="A434" s="141" t="s">
        <v>2307</v>
      </c>
      <c r="B434" s="80">
        <v>53</v>
      </c>
      <c r="C434" s="80">
        <v>21</v>
      </c>
      <c r="D434" s="80">
        <v>65208</v>
      </c>
      <c r="E434" s="167">
        <v>30430</v>
      </c>
      <c r="F434" s="73">
        <v>37.5</v>
      </c>
      <c r="G434">
        <v>6</v>
      </c>
      <c r="H434" s="72">
        <f t="shared" si="6"/>
        <v>0.2857142857142857</v>
      </c>
    </row>
    <row r="435" spans="1:8" x14ac:dyDescent="0.25">
      <c r="A435" s="141" t="s">
        <v>1675</v>
      </c>
      <c r="B435" s="80">
        <v>160</v>
      </c>
      <c r="C435" s="80">
        <v>81</v>
      </c>
      <c r="D435" s="80">
        <v>38750</v>
      </c>
      <c r="E435" s="167">
        <v>14920</v>
      </c>
      <c r="F435" s="73">
        <v>1.2</v>
      </c>
      <c r="G435">
        <v>24</v>
      </c>
      <c r="H435" s="72">
        <f t="shared" si="6"/>
        <v>0.29629629629629628</v>
      </c>
    </row>
    <row r="436" spans="1:8" x14ac:dyDescent="0.25">
      <c r="A436" s="141" t="s">
        <v>1701</v>
      </c>
      <c r="B436" s="80">
        <v>552</v>
      </c>
      <c r="C436" s="80">
        <v>308</v>
      </c>
      <c r="D436" s="80">
        <v>43194</v>
      </c>
      <c r="E436" s="167">
        <v>4757</v>
      </c>
      <c r="F436" s="73">
        <v>7.9</v>
      </c>
      <c r="G436">
        <v>166</v>
      </c>
      <c r="H436" s="72">
        <f t="shared" si="6"/>
        <v>0.53896103896103897</v>
      </c>
    </row>
    <row r="437" spans="1:8" x14ac:dyDescent="0.25">
      <c r="A437" s="141" t="s">
        <v>1538</v>
      </c>
      <c r="B437" s="80">
        <v>119</v>
      </c>
      <c r="C437" s="80">
        <v>70</v>
      </c>
      <c r="D437" s="80">
        <v>43542</v>
      </c>
      <c r="E437" s="167">
        <v>10634</v>
      </c>
      <c r="F437" s="73">
        <v>2.9</v>
      </c>
      <c r="G437">
        <v>39</v>
      </c>
      <c r="H437" s="72">
        <f t="shared" si="6"/>
        <v>0.55714285714285716</v>
      </c>
    </row>
    <row r="438" spans="1:8" x14ac:dyDescent="0.25">
      <c r="A438" s="141" t="s">
        <v>1630</v>
      </c>
      <c r="B438" s="80">
        <v>767</v>
      </c>
      <c r="C438" s="80">
        <v>322</v>
      </c>
      <c r="D438" s="80">
        <v>64583</v>
      </c>
      <c r="E438" s="167">
        <v>7419</v>
      </c>
      <c r="F438" s="73">
        <v>3.7</v>
      </c>
      <c r="G438">
        <v>92</v>
      </c>
      <c r="H438" s="72">
        <f t="shared" si="6"/>
        <v>0.2857142857142857</v>
      </c>
    </row>
    <row r="439" spans="1:8" x14ac:dyDescent="0.25">
      <c r="A439" s="141" t="s">
        <v>2308</v>
      </c>
      <c r="B439" s="80">
        <v>4</v>
      </c>
      <c r="C439" s="80">
        <v>4</v>
      </c>
      <c r="D439" s="80"/>
      <c r="E439" s="167" t="s">
        <v>0</v>
      </c>
      <c r="F439" s="73">
        <v>0</v>
      </c>
      <c r="G439">
        <v>0</v>
      </c>
      <c r="H439" s="72">
        <f t="shared" si="6"/>
        <v>0</v>
      </c>
    </row>
    <row r="440" spans="1:8" x14ac:dyDescent="0.25">
      <c r="A440" s="141" t="s">
        <v>2309</v>
      </c>
      <c r="B440" s="80">
        <v>222</v>
      </c>
      <c r="C440" s="80">
        <v>93</v>
      </c>
      <c r="D440" s="80">
        <v>62500</v>
      </c>
      <c r="E440" s="167">
        <v>33178</v>
      </c>
      <c r="F440" s="73">
        <v>0</v>
      </c>
      <c r="G440">
        <v>15</v>
      </c>
      <c r="H440" s="72">
        <f t="shared" si="6"/>
        <v>0.16129032258064516</v>
      </c>
    </row>
    <row r="441" spans="1:8" x14ac:dyDescent="0.25">
      <c r="A441" s="141" t="s">
        <v>1805</v>
      </c>
      <c r="B441" s="80">
        <v>186</v>
      </c>
      <c r="C441" s="80">
        <v>90</v>
      </c>
      <c r="D441" s="80">
        <v>46250</v>
      </c>
      <c r="E441" s="167">
        <v>2568</v>
      </c>
      <c r="F441" s="73">
        <v>19.7</v>
      </c>
      <c r="G441">
        <v>53</v>
      </c>
      <c r="H441" s="72">
        <f t="shared" si="6"/>
        <v>0.58888888888888891</v>
      </c>
    </row>
    <row r="442" spans="1:8" x14ac:dyDescent="0.25">
      <c r="A442" s="141" t="s">
        <v>42</v>
      </c>
      <c r="B442" s="80">
        <v>23</v>
      </c>
      <c r="C442" s="80">
        <v>131</v>
      </c>
      <c r="D442" s="80"/>
      <c r="E442" s="167" t="s">
        <v>0</v>
      </c>
      <c r="F442" s="73" t="s">
        <v>1</v>
      </c>
      <c r="G442">
        <v>0</v>
      </c>
      <c r="H442" s="72">
        <f t="shared" si="6"/>
        <v>0</v>
      </c>
    </row>
    <row r="443" spans="1:8" x14ac:dyDescent="0.25">
      <c r="A443" s="141" t="s">
        <v>2201</v>
      </c>
      <c r="B443" s="80">
        <v>5135</v>
      </c>
      <c r="C443" s="80">
        <v>2324</v>
      </c>
      <c r="D443" s="80">
        <v>59406</v>
      </c>
      <c r="E443" s="167">
        <v>14972</v>
      </c>
      <c r="F443" s="73">
        <v>0</v>
      </c>
      <c r="G443">
        <v>522</v>
      </c>
      <c r="H443" s="72">
        <f t="shared" si="6"/>
        <v>0.22461273666092943</v>
      </c>
    </row>
    <row r="444" spans="1:8" x14ac:dyDescent="0.25">
      <c r="A444" s="141" t="s">
        <v>1095</v>
      </c>
      <c r="B444" s="80">
        <v>545</v>
      </c>
      <c r="C444" s="80">
        <v>249</v>
      </c>
      <c r="D444" s="80">
        <v>78333</v>
      </c>
      <c r="E444" s="167">
        <v>10954</v>
      </c>
      <c r="F444" s="73">
        <v>2</v>
      </c>
      <c r="G444">
        <v>85</v>
      </c>
      <c r="H444" s="72">
        <f t="shared" si="6"/>
        <v>0.34136546184738958</v>
      </c>
    </row>
    <row r="445" spans="1:8" x14ac:dyDescent="0.25">
      <c r="A445" s="141" t="s">
        <v>1981</v>
      </c>
      <c r="B445" s="80">
        <v>638</v>
      </c>
      <c r="C445" s="80">
        <v>372</v>
      </c>
      <c r="D445" s="80">
        <v>46538</v>
      </c>
      <c r="E445" s="167">
        <v>12096</v>
      </c>
      <c r="F445" s="73">
        <v>4</v>
      </c>
      <c r="G445">
        <v>198</v>
      </c>
      <c r="H445" s="72">
        <f t="shared" si="6"/>
        <v>0.532258064516129</v>
      </c>
    </row>
    <row r="446" spans="1:8" x14ac:dyDescent="0.25">
      <c r="A446" s="141" t="s">
        <v>1991</v>
      </c>
      <c r="B446" s="80">
        <v>200</v>
      </c>
      <c r="C446" s="80">
        <v>173</v>
      </c>
      <c r="D446" s="80">
        <v>45673</v>
      </c>
      <c r="E446" s="167">
        <v>6923</v>
      </c>
      <c r="F446" s="73">
        <v>18.8</v>
      </c>
      <c r="G446">
        <v>40</v>
      </c>
      <c r="H446" s="72">
        <f t="shared" si="6"/>
        <v>0.23121387283236994</v>
      </c>
    </row>
    <row r="447" spans="1:8" x14ac:dyDescent="0.25">
      <c r="A447" s="141" t="s">
        <v>1557</v>
      </c>
      <c r="B447" s="80">
        <v>5050</v>
      </c>
      <c r="C447" s="80">
        <v>2593</v>
      </c>
      <c r="D447" s="80">
        <v>60481</v>
      </c>
      <c r="E447" s="167">
        <v>6696</v>
      </c>
      <c r="F447" s="73">
        <v>3.9</v>
      </c>
      <c r="G447">
        <v>812</v>
      </c>
      <c r="H447" s="72">
        <f t="shared" si="6"/>
        <v>0.31315079059005013</v>
      </c>
    </row>
    <row r="448" spans="1:8" x14ac:dyDescent="0.25">
      <c r="A448" s="141" t="s">
        <v>1479</v>
      </c>
      <c r="B448" s="80">
        <v>2496</v>
      </c>
      <c r="C448" s="80">
        <v>1144</v>
      </c>
      <c r="D448" s="80">
        <v>63672</v>
      </c>
      <c r="E448" s="167">
        <v>10077</v>
      </c>
      <c r="F448" s="73">
        <v>3.1</v>
      </c>
      <c r="G448">
        <v>311</v>
      </c>
      <c r="H448" s="72">
        <f t="shared" si="6"/>
        <v>0.27185314685314688</v>
      </c>
    </row>
    <row r="449" spans="1:8" x14ac:dyDescent="0.25">
      <c r="A449" s="141" t="s">
        <v>1635</v>
      </c>
      <c r="B449" s="80">
        <v>9071</v>
      </c>
      <c r="C449" s="80">
        <v>3268</v>
      </c>
      <c r="D449" s="80">
        <v>145433</v>
      </c>
      <c r="E449" s="167">
        <v>23687</v>
      </c>
      <c r="F449" s="73">
        <v>2.4</v>
      </c>
      <c r="G449">
        <v>650</v>
      </c>
      <c r="H449" s="72">
        <f t="shared" si="6"/>
        <v>0.19889840881272949</v>
      </c>
    </row>
    <row r="450" spans="1:8" x14ac:dyDescent="0.25">
      <c r="A450" s="141" t="s">
        <v>1097</v>
      </c>
      <c r="B450" s="80">
        <v>1683</v>
      </c>
      <c r="C450" s="80">
        <v>810</v>
      </c>
      <c r="D450" s="80">
        <v>53914</v>
      </c>
      <c r="E450" s="167">
        <v>3222</v>
      </c>
      <c r="F450" s="73">
        <v>2.4</v>
      </c>
      <c r="G450">
        <v>313</v>
      </c>
      <c r="H450" s="72">
        <f t="shared" ref="H450:H513" si="7">G450/C450</f>
        <v>0.38641975308641974</v>
      </c>
    </row>
    <row r="451" spans="1:8" x14ac:dyDescent="0.25">
      <c r="A451" s="141" t="s">
        <v>41</v>
      </c>
      <c r="B451" s="80">
        <v>307</v>
      </c>
      <c r="C451" s="80">
        <v>210</v>
      </c>
      <c r="D451" s="80">
        <v>59531</v>
      </c>
      <c r="E451" s="167">
        <v>14593</v>
      </c>
      <c r="F451" s="73">
        <v>14</v>
      </c>
      <c r="G451">
        <v>29</v>
      </c>
      <c r="H451" s="72">
        <f t="shared" si="7"/>
        <v>0.1380952380952381</v>
      </c>
    </row>
    <row r="452" spans="1:8" x14ac:dyDescent="0.25">
      <c r="A452" s="141" t="s">
        <v>2310</v>
      </c>
      <c r="B452" s="80">
        <v>86</v>
      </c>
      <c r="C452" s="80">
        <v>50</v>
      </c>
      <c r="D452" s="80">
        <v>88269</v>
      </c>
      <c r="E452" s="167">
        <v>6522</v>
      </c>
      <c r="F452" s="73">
        <v>1.5</v>
      </c>
      <c r="G452">
        <v>4</v>
      </c>
      <c r="H452" s="72">
        <f t="shared" si="7"/>
        <v>0.08</v>
      </c>
    </row>
    <row r="453" spans="1:8" x14ac:dyDescent="0.25">
      <c r="A453" s="141" t="s">
        <v>2204</v>
      </c>
      <c r="B453" s="80">
        <v>1723</v>
      </c>
      <c r="C453" s="80">
        <v>806</v>
      </c>
      <c r="D453" s="80">
        <v>86739</v>
      </c>
      <c r="E453" s="167">
        <v>7390</v>
      </c>
      <c r="F453" s="73">
        <v>3.3</v>
      </c>
      <c r="G453">
        <v>147</v>
      </c>
      <c r="H453" s="72">
        <f t="shared" si="7"/>
        <v>0.18238213399503722</v>
      </c>
    </row>
    <row r="454" spans="1:8" x14ac:dyDescent="0.25">
      <c r="A454" s="141" t="s">
        <v>2401</v>
      </c>
      <c r="B454" s="80">
        <v>355</v>
      </c>
      <c r="C454" s="80">
        <v>118</v>
      </c>
      <c r="D454" s="80">
        <v>120000</v>
      </c>
      <c r="E454" s="167">
        <v>7982</v>
      </c>
      <c r="F454" s="73">
        <v>0</v>
      </c>
      <c r="G454">
        <v>32</v>
      </c>
      <c r="H454" s="72">
        <f t="shared" si="7"/>
        <v>0.2711864406779661</v>
      </c>
    </row>
    <row r="455" spans="1:8" x14ac:dyDescent="0.25">
      <c r="A455" s="141" t="s">
        <v>1852</v>
      </c>
      <c r="B455" s="80">
        <v>258</v>
      </c>
      <c r="C455" s="80">
        <v>120</v>
      </c>
      <c r="D455" s="80">
        <v>55114</v>
      </c>
      <c r="E455" s="167">
        <v>4991</v>
      </c>
      <c r="F455" s="73">
        <v>2.2999999999999998</v>
      </c>
      <c r="G455">
        <v>48</v>
      </c>
      <c r="H455" s="72">
        <f t="shared" si="7"/>
        <v>0.4</v>
      </c>
    </row>
    <row r="456" spans="1:8" x14ac:dyDescent="0.25">
      <c r="A456" s="141" t="s">
        <v>1469</v>
      </c>
      <c r="B456" s="80">
        <v>631</v>
      </c>
      <c r="C456" s="80">
        <v>281</v>
      </c>
      <c r="D456" s="80">
        <v>46500</v>
      </c>
      <c r="E456" s="167">
        <v>6828</v>
      </c>
      <c r="F456" s="73">
        <v>0.9</v>
      </c>
      <c r="G456">
        <v>131</v>
      </c>
      <c r="H456" s="72">
        <f t="shared" si="7"/>
        <v>0.46619217081850534</v>
      </c>
    </row>
    <row r="457" spans="1:8" x14ac:dyDescent="0.25">
      <c r="A457" s="141" t="s">
        <v>2402</v>
      </c>
      <c r="B457" s="80">
        <v>1091</v>
      </c>
      <c r="C457" s="80">
        <v>536</v>
      </c>
      <c r="D457" s="80">
        <v>83056</v>
      </c>
      <c r="E457" s="167">
        <v>15084</v>
      </c>
      <c r="F457" s="73">
        <v>1.5</v>
      </c>
      <c r="G457">
        <v>156</v>
      </c>
      <c r="H457" s="72">
        <f t="shared" si="7"/>
        <v>0.29104477611940299</v>
      </c>
    </row>
    <row r="458" spans="1:8" x14ac:dyDescent="0.25">
      <c r="A458" s="141" t="s">
        <v>2312</v>
      </c>
      <c r="B458" s="80">
        <v>968</v>
      </c>
      <c r="C458" s="80">
        <v>1098</v>
      </c>
      <c r="D458" s="80">
        <v>97802</v>
      </c>
      <c r="E458" s="167">
        <v>10231</v>
      </c>
      <c r="F458" s="73">
        <v>3.5</v>
      </c>
      <c r="G458">
        <v>113</v>
      </c>
      <c r="H458" s="72">
        <f t="shared" si="7"/>
        <v>0.1029143897996357</v>
      </c>
    </row>
    <row r="459" spans="1:8" x14ac:dyDescent="0.25">
      <c r="A459" s="141" t="s">
        <v>1542</v>
      </c>
      <c r="B459" s="80">
        <v>65710</v>
      </c>
      <c r="C459" s="80">
        <v>23168</v>
      </c>
      <c r="D459" s="80">
        <v>112020</v>
      </c>
      <c r="E459" s="167">
        <v>4629</v>
      </c>
      <c r="F459" s="73">
        <v>2.2000000000000002</v>
      </c>
      <c r="G459">
        <v>4377</v>
      </c>
      <c r="H459" s="72">
        <f t="shared" si="7"/>
        <v>0.18892437845303867</v>
      </c>
    </row>
    <row r="460" spans="1:8" x14ac:dyDescent="0.25">
      <c r="A460" s="141" t="s">
        <v>1535</v>
      </c>
      <c r="B460" s="80">
        <v>220</v>
      </c>
      <c r="C460" s="80">
        <v>136</v>
      </c>
      <c r="D460" s="80">
        <v>52917</v>
      </c>
      <c r="E460" s="167">
        <v>15771</v>
      </c>
      <c r="F460" s="73">
        <v>0.9</v>
      </c>
      <c r="G460">
        <v>38</v>
      </c>
      <c r="H460" s="72">
        <f t="shared" si="7"/>
        <v>0.27941176470588236</v>
      </c>
    </row>
    <row r="461" spans="1:8" x14ac:dyDescent="0.25">
      <c r="A461" s="141" t="s">
        <v>1662</v>
      </c>
      <c r="B461" s="80">
        <v>831</v>
      </c>
      <c r="C461" s="80">
        <v>432</v>
      </c>
      <c r="D461" s="80">
        <v>50357</v>
      </c>
      <c r="E461" s="167">
        <v>6781</v>
      </c>
      <c r="F461" s="73">
        <v>1.4</v>
      </c>
      <c r="G461">
        <v>216</v>
      </c>
      <c r="H461" s="72">
        <f t="shared" si="7"/>
        <v>0.5</v>
      </c>
    </row>
    <row r="462" spans="1:8" x14ac:dyDescent="0.25">
      <c r="A462" s="141" t="s">
        <v>1946</v>
      </c>
      <c r="B462" s="80">
        <v>425</v>
      </c>
      <c r="C462" s="80">
        <v>213</v>
      </c>
      <c r="D462" s="80">
        <v>52206</v>
      </c>
      <c r="E462" s="167">
        <v>6258</v>
      </c>
      <c r="F462" s="73">
        <v>12.3</v>
      </c>
      <c r="G462">
        <v>58</v>
      </c>
      <c r="H462" s="72">
        <f t="shared" si="7"/>
        <v>0.27230046948356806</v>
      </c>
    </row>
    <row r="463" spans="1:8" x14ac:dyDescent="0.25">
      <c r="A463" s="141" t="s">
        <v>2314</v>
      </c>
      <c r="B463" s="80">
        <v>796</v>
      </c>
      <c r="C463" s="80">
        <v>293</v>
      </c>
      <c r="D463" s="80">
        <v>35536</v>
      </c>
      <c r="E463" s="167">
        <v>10367</v>
      </c>
      <c r="F463" s="73">
        <v>1.8</v>
      </c>
      <c r="G463">
        <v>315</v>
      </c>
      <c r="H463" s="72">
        <f t="shared" si="7"/>
        <v>1.0750853242320819</v>
      </c>
    </row>
    <row r="464" spans="1:8" x14ac:dyDescent="0.25">
      <c r="A464" s="141" t="s">
        <v>1906</v>
      </c>
      <c r="B464" s="80">
        <v>778</v>
      </c>
      <c r="C464" s="80">
        <v>458</v>
      </c>
      <c r="D464" s="80">
        <v>60625</v>
      </c>
      <c r="E464" s="167">
        <v>8878</v>
      </c>
      <c r="F464" s="73">
        <v>0.3</v>
      </c>
      <c r="G464">
        <v>108</v>
      </c>
      <c r="H464" s="72">
        <f t="shared" si="7"/>
        <v>0.23580786026200873</v>
      </c>
    </row>
    <row r="465" spans="1:8" x14ac:dyDescent="0.25">
      <c r="A465" s="141" t="s">
        <v>40</v>
      </c>
      <c r="B465" s="80">
        <v>173</v>
      </c>
      <c r="C465" s="80">
        <v>97</v>
      </c>
      <c r="D465" s="80"/>
      <c r="E465" s="167" t="s">
        <v>0</v>
      </c>
      <c r="F465" s="73">
        <v>0</v>
      </c>
      <c r="G465">
        <v>48</v>
      </c>
      <c r="H465" s="72">
        <f t="shared" si="7"/>
        <v>0.49484536082474229</v>
      </c>
    </row>
    <row r="466" spans="1:8" x14ac:dyDescent="0.25">
      <c r="A466" s="141" t="s">
        <v>1633</v>
      </c>
      <c r="B466" s="80">
        <v>105</v>
      </c>
      <c r="C466" s="80">
        <v>73</v>
      </c>
      <c r="D466" s="80">
        <v>48906</v>
      </c>
      <c r="E466" s="167">
        <v>10560</v>
      </c>
      <c r="F466" s="73">
        <v>0</v>
      </c>
      <c r="G466">
        <v>16</v>
      </c>
      <c r="H466" s="72">
        <f t="shared" si="7"/>
        <v>0.21917808219178081</v>
      </c>
    </row>
    <row r="467" spans="1:8" x14ac:dyDescent="0.25">
      <c r="A467" s="141" t="s">
        <v>2202</v>
      </c>
      <c r="B467" s="80">
        <v>732</v>
      </c>
      <c r="C467" s="80">
        <v>306</v>
      </c>
      <c r="D467" s="80">
        <v>63929</v>
      </c>
      <c r="E467" s="167">
        <v>21331</v>
      </c>
      <c r="F467" s="73">
        <v>0.9</v>
      </c>
      <c r="G467">
        <v>117</v>
      </c>
      <c r="H467" s="72">
        <f t="shared" si="7"/>
        <v>0.38235294117647056</v>
      </c>
    </row>
    <row r="468" spans="1:8" x14ac:dyDescent="0.25">
      <c r="A468" s="141" t="s">
        <v>2203</v>
      </c>
      <c r="B468" s="80">
        <v>76</v>
      </c>
      <c r="C468" s="80">
        <v>36</v>
      </c>
      <c r="D468" s="80">
        <v>48125</v>
      </c>
      <c r="E468" s="167">
        <v>16076</v>
      </c>
      <c r="F468" s="73">
        <v>0</v>
      </c>
      <c r="G468">
        <v>8</v>
      </c>
      <c r="H468" s="72">
        <f t="shared" si="7"/>
        <v>0.22222222222222221</v>
      </c>
    </row>
    <row r="469" spans="1:8" x14ac:dyDescent="0.25">
      <c r="A469" s="141" t="s">
        <v>2316</v>
      </c>
      <c r="B469" s="80">
        <v>146</v>
      </c>
      <c r="C469" s="80">
        <v>54</v>
      </c>
      <c r="D469" s="80">
        <v>53125</v>
      </c>
      <c r="E469" s="167">
        <v>26034</v>
      </c>
      <c r="F469" s="73">
        <v>2.7</v>
      </c>
      <c r="G469">
        <v>22</v>
      </c>
      <c r="H469" s="72">
        <f t="shared" si="7"/>
        <v>0.40740740740740738</v>
      </c>
    </row>
    <row r="470" spans="1:8" x14ac:dyDescent="0.25">
      <c r="A470" s="141" t="s">
        <v>2317</v>
      </c>
      <c r="B470" s="80">
        <v>2624</v>
      </c>
      <c r="C470" s="80">
        <v>1382</v>
      </c>
      <c r="D470" s="80">
        <v>65578</v>
      </c>
      <c r="E470" s="167">
        <v>9716</v>
      </c>
      <c r="F470" s="73">
        <v>8.8000000000000007</v>
      </c>
      <c r="G470">
        <v>415</v>
      </c>
      <c r="H470" s="72">
        <f t="shared" si="7"/>
        <v>0.30028943560057886</v>
      </c>
    </row>
    <row r="471" spans="1:8" x14ac:dyDescent="0.25">
      <c r="A471" s="141" t="s">
        <v>1099</v>
      </c>
      <c r="B471" s="80">
        <v>2651</v>
      </c>
      <c r="C471" s="80">
        <v>1054</v>
      </c>
      <c r="D471" s="80">
        <v>53424</v>
      </c>
      <c r="E471" s="167">
        <v>9454</v>
      </c>
      <c r="F471" s="73">
        <v>8</v>
      </c>
      <c r="G471">
        <v>623</v>
      </c>
      <c r="H471" s="72">
        <f t="shared" si="7"/>
        <v>0.59108159392789372</v>
      </c>
    </row>
    <row r="472" spans="1:8" x14ac:dyDescent="0.25">
      <c r="A472" s="141" t="s">
        <v>2318</v>
      </c>
      <c r="B472" s="80">
        <v>52</v>
      </c>
      <c r="C472" s="80">
        <v>43</v>
      </c>
      <c r="D472" s="80">
        <v>56875</v>
      </c>
      <c r="E472" s="167">
        <v>16722</v>
      </c>
      <c r="F472" s="73">
        <v>0</v>
      </c>
      <c r="G472">
        <v>16</v>
      </c>
      <c r="H472" s="72">
        <f t="shared" si="7"/>
        <v>0.37209302325581395</v>
      </c>
    </row>
    <row r="473" spans="1:8" x14ac:dyDescent="0.25">
      <c r="A473" s="141" t="s">
        <v>2319</v>
      </c>
      <c r="B473" s="80">
        <v>56</v>
      </c>
      <c r="C473" s="80">
        <v>27</v>
      </c>
      <c r="D473" s="80">
        <v>63750</v>
      </c>
      <c r="E473" s="167">
        <v>42045</v>
      </c>
      <c r="F473" s="73">
        <v>0</v>
      </c>
      <c r="G473">
        <v>5</v>
      </c>
      <c r="H473" s="72">
        <f t="shared" si="7"/>
        <v>0.18518518518518517</v>
      </c>
    </row>
    <row r="474" spans="1:8" x14ac:dyDescent="0.25">
      <c r="A474" s="141" t="s">
        <v>2320</v>
      </c>
      <c r="B474" s="80">
        <v>37</v>
      </c>
      <c r="C474" s="80">
        <v>22</v>
      </c>
      <c r="D474" s="80"/>
      <c r="E474" s="167" t="s">
        <v>0</v>
      </c>
      <c r="F474" s="73">
        <v>0</v>
      </c>
      <c r="G474">
        <v>13</v>
      </c>
      <c r="H474" s="72">
        <f t="shared" si="7"/>
        <v>0.59090909090909094</v>
      </c>
    </row>
    <row r="475" spans="1:8" x14ac:dyDescent="0.25">
      <c r="A475" s="141" t="s">
        <v>39</v>
      </c>
      <c r="B475" s="80">
        <v>153</v>
      </c>
      <c r="C475" s="80">
        <v>93</v>
      </c>
      <c r="D475" s="80">
        <v>46500</v>
      </c>
      <c r="E475" s="167">
        <v>6427</v>
      </c>
      <c r="F475" s="73">
        <v>3.4</v>
      </c>
      <c r="G475">
        <v>9</v>
      </c>
      <c r="H475" s="72">
        <f t="shared" si="7"/>
        <v>9.6774193548387094E-2</v>
      </c>
    </row>
    <row r="476" spans="1:8" x14ac:dyDescent="0.25">
      <c r="A476" s="141" t="s">
        <v>2403</v>
      </c>
      <c r="B476" s="80">
        <v>1006</v>
      </c>
      <c r="C476" s="80">
        <v>439</v>
      </c>
      <c r="D476" s="80">
        <v>45938</v>
      </c>
      <c r="E476" s="167">
        <v>7952</v>
      </c>
      <c r="F476" s="73">
        <v>0</v>
      </c>
      <c r="G476">
        <v>194</v>
      </c>
      <c r="H476" s="72">
        <f t="shared" si="7"/>
        <v>0.44191343963553531</v>
      </c>
    </row>
    <row r="477" spans="1:8" x14ac:dyDescent="0.25">
      <c r="A477" s="141" t="s">
        <v>1101</v>
      </c>
      <c r="B477" s="80">
        <v>1719</v>
      </c>
      <c r="C477" s="80">
        <v>712</v>
      </c>
      <c r="D477" s="80">
        <v>63000</v>
      </c>
      <c r="E477" s="167">
        <v>13337</v>
      </c>
      <c r="F477" s="73">
        <v>1</v>
      </c>
      <c r="G477">
        <v>338</v>
      </c>
      <c r="H477" s="72">
        <f t="shared" si="7"/>
        <v>0.4747191011235955</v>
      </c>
    </row>
    <row r="478" spans="1:8" x14ac:dyDescent="0.25">
      <c r="A478" s="141" t="s">
        <v>1147</v>
      </c>
      <c r="B478" s="80">
        <v>4028</v>
      </c>
      <c r="C478" s="80">
        <v>1749</v>
      </c>
      <c r="D478" s="80">
        <v>59864</v>
      </c>
      <c r="E478" s="167">
        <v>10029</v>
      </c>
      <c r="F478" s="73">
        <v>1.7</v>
      </c>
      <c r="G478">
        <v>941</v>
      </c>
      <c r="H478" s="72">
        <f t="shared" si="7"/>
        <v>0.53802172670097204</v>
      </c>
    </row>
    <row r="479" spans="1:8" x14ac:dyDescent="0.25">
      <c r="A479" s="141" t="s">
        <v>1103</v>
      </c>
      <c r="B479" s="80">
        <v>1828</v>
      </c>
      <c r="C479" s="80">
        <v>677</v>
      </c>
      <c r="D479" s="80">
        <v>72375</v>
      </c>
      <c r="E479" s="167">
        <v>8764</v>
      </c>
      <c r="F479" s="73">
        <v>3.8</v>
      </c>
      <c r="G479">
        <v>237</v>
      </c>
      <c r="H479" s="72">
        <f t="shared" si="7"/>
        <v>0.35007385524372231</v>
      </c>
    </row>
    <row r="480" spans="1:8" x14ac:dyDescent="0.25">
      <c r="A480" s="141" t="s">
        <v>1987</v>
      </c>
      <c r="B480" s="80">
        <v>333</v>
      </c>
      <c r="C480" s="80">
        <v>132</v>
      </c>
      <c r="D480" s="80">
        <v>51111</v>
      </c>
      <c r="E480" s="167">
        <v>15046</v>
      </c>
      <c r="F480" s="73">
        <v>2.2999999999999998</v>
      </c>
      <c r="G480">
        <v>161</v>
      </c>
      <c r="H480" s="72">
        <f t="shared" si="7"/>
        <v>1.2196969696969697</v>
      </c>
    </row>
    <row r="481" spans="1:8" x14ac:dyDescent="0.25">
      <c r="A481" s="141" t="s">
        <v>1812</v>
      </c>
      <c r="B481" s="80">
        <v>2276</v>
      </c>
      <c r="C481" s="80">
        <v>945</v>
      </c>
      <c r="D481" s="80">
        <v>65333</v>
      </c>
      <c r="E481" s="167">
        <v>13718</v>
      </c>
      <c r="F481" s="73">
        <v>7.8</v>
      </c>
      <c r="G481">
        <v>530</v>
      </c>
      <c r="H481" s="72">
        <f t="shared" si="7"/>
        <v>0.56084656084656082</v>
      </c>
    </row>
    <row r="482" spans="1:8" x14ac:dyDescent="0.25">
      <c r="A482" s="141" t="s">
        <v>2322</v>
      </c>
      <c r="B482" s="80">
        <v>892</v>
      </c>
      <c r="C482" s="80">
        <v>660</v>
      </c>
      <c r="D482" s="80">
        <v>93375</v>
      </c>
      <c r="E482" s="167">
        <v>22888</v>
      </c>
      <c r="F482" s="73">
        <v>5.2</v>
      </c>
      <c r="G482">
        <v>80</v>
      </c>
      <c r="H482" s="72">
        <f t="shared" si="7"/>
        <v>0.12121212121212122</v>
      </c>
    </row>
    <row r="483" spans="1:8" x14ac:dyDescent="0.25">
      <c r="A483" s="141" t="s">
        <v>1636</v>
      </c>
      <c r="B483" s="80">
        <v>4662</v>
      </c>
      <c r="C483" s="80">
        <v>1757</v>
      </c>
      <c r="D483" s="80">
        <v>103102</v>
      </c>
      <c r="E483" s="167">
        <v>18407</v>
      </c>
      <c r="F483" s="73">
        <v>1.5</v>
      </c>
      <c r="G483">
        <v>412</v>
      </c>
      <c r="H483" s="72">
        <f t="shared" si="7"/>
        <v>0.23449060899260102</v>
      </c>
    </row>
    <row r="484" spans="1:8" x14ac:dyDescent="0.25">
      <c r="A484" s="141" t="s">
        <v>1652</v>
      </c>
      <c r="B484" s="80">
        <v>21748</v>
      </c>
      <c r="C484" s="80">
        <v>7384</v>
      </c>
      <c r="D484" s="80">
        <v>107647</v>
      </c>
      <c r="E484" s="167">
        <v>8326</v>
      </c>
      <c r="F484" s="73">
        <v>2.8</v>
      </c>
      <c r="G484">
        <v>1172</v>
      </c>
      <c r="H484" s="72">
        <f t="shared" si="7"/>
        <v>0.15872156013001085</v>
      </c>
    </row>
    <row r="485" spans="1:8" x14ac:dyDescent="0.25">
      <c r="A485" s="141" t="s">
        <v>1995</v>
      </c>
      <c r="B485" s="80">
        <v>270</v>
      </c>
      <c r="C485" s="80">
        <v>182</v>
      </c>
      <c r="D485" s="80">
        <v>48977</v>
      </c>
      <c r="E485" s="167">
        <v>836</v>
      </c>
      <c r="F485" s="73">
        <v>0</v>
      </c>
      <c r="G485">
        <v>45</v>
      </c>
      <c r="H485" s="72">
        <f t="shared" si="7"/>
        <v>0.24725274725274726</v>
      </c>
    </row>
    <row r="486" spans="1:8" x14ac:dyDescent="0.25">
      <c r="A486" s="141" t="s">
        <v>1105</v>
      </c>
      <c r="B486" s="80">
        <v>6640</v>
      </c>
      <c r="C486" s="80">
        <v>3147</v>
      </c>
      <c r="D486" s="80">
        <v>51352</v>
      </c>
      <c r="E486" s="167">
        <v>6412</v>
      </c>
      <c r="F486" s="73">
        <v>1.8</v>
      </c>
      <c r="G486">
        <v>1258</v>
      </c>
      <c r="H486" s="72">
        <f t="shared" si="7"/>
        <v>0.39974578964092788</v>
      </c>
    </row>
    <row r="487" spans="1:8" x14ac:dyDescent="0.25">
      <c r="A487" s="141" t="s">
        <v>2036</v>
      </c>
      <c r="B487" s="80">
        <v>10423</v>
      </c>
      <c r="C487" s="80">
        <v>4894</v>
      </c>
      <c r="D487" s="80">
        <v>55893</v>
      </c>
      <c r="E487" s="167">
        <v>5820</v>
      </c>
      <c r="F487" s="73">
        <v>3</v>
      </c>
      <c r="G487">
        <v>1778</v>
      </c>
      <c r="H487" s="72">
        <f t="shared" si="7"/>
        <v>0.36330200245198202</v>
      </c>
    </row>
    <row r="488" spans="1:8" x14ac:dyDescent="0.25">
      <c r="A488" s="141" t="s">
        <v>1818</v>
      </c>
      <c r="B488" s="80">
        <v>8663</v>
      </c>
      <c r="C488" s="80">
        <v>4007</v>
      </c>
      <c r="D488" s="80">
        <v>40044</v>
      </c>
      <c r="E488" s="167">
        <v>8247</v>
      </c>
      <c r="F488" s="73">
        <v>5.7</v>
      </c>
      <c r="G488">
        <v>2466</v>
      </c>
      <c r="H488" s="72">
        <f t="shared" si="7"/>
        <v>0.61542300973296726</v>
      </c>
    </row>
    <row r="489" spans="1:8" x14ac:dyDescent="0.25">
      <c r="A489" s="141" t="s">
        <v>1107</v>
      </c>
      <c r="B489" s="80">
        <v>712</v>
      </c>
      <c r="C489" s="80">
        <v>342</v>
      </c>
      <c r="D489" s="80">
        <v>51250</v>
      </c>
      <c r="E489" s="167">
        <v>15202</v>
      </c>
      <c r="F489" s="73">
        <v>4.8</v>
      </c>
      <c r="G489">
        <v>189</v>
      </c>
      <c r="H489" s="72">
        <f t="shared" si="7"/>
        <v>0.55263157894736847</v>
      </c>
    </row>
    <row r="490" spans="1:8" x14ac:dyDescent="0.25">
      <c r="A490" s="141" t="s">
        <v>38</v>
      </c>
      <c r="B490" s="80">
        <v>913</v>
      </c>
      <c r="C490" s="80">
        <v>296</v>
      </c>
      <c r="D490" s="80">
        <v>38750</v>
      </c>
      <c r="E490" s="167">
        <v>7822</v>
      </c>
      <c r="F490" s="73">
        <v>32.5</v>
      </c>
      <c r="G490">
        <v>595</v>
      </c>
      <c r="H490" s="72">
        <f t="shared" si="7"/>
        <v>2.0101351351351351</v>
      </c>
    </row>
    <row r="491" spans="1:8" x14ac:dyDescent="0.25">
      <c r="A491" s="141" t="s">
        <v>2323</v>
      </c>
      <c r="B491" s="80">
        <v>254</v>
      </c>
      <c r="C491" s="80">
        <v>220</v>
      </c>
      <c r="D491" s="80">
        <v>87500</v>
      </c>
      <c r="E491" s="167">
        <v>16504</v>
      </c>
      <c r="F491" s="73">
        <v>2.2999999999999998</v>
      </c>
      <c r="G491">
        <v>20</v>
      </c>
      <c r="H491" s="72">
        <f t="shared" si="7"/>
        <v>9.0909090909090912E-2</v>
      </c>
    </row>
    <row r="492" spans="1:8" x14ac:dyDescent="0.25">
      <c r="A492" s="141" t="s">
        <v>1665</v>
      </c>
      <c r="B492" s="80">
        <v>1779</v>
      </c>
      <c r="C492" s="80">
        <v>728</v>
      </c>
      <c r="D492" s="80">
        <v>76417</v>
      </c>
      <c r="E492" s="167">
        <v>12212</v>
      </c>
      <c r="F492" s="73">
        <v>5.0999999999999996</v>
      </c>
      <c r="G492">
        <v>303</v>
      </c>
      <c r="H492" s="72">
        <f t="shared" si="7"/>
        <v>0.41620879120879123</v>
      </c>
    </row>
    <row r="493" spans="1:8" x14ac:dyDescent="0.25">
      <c r="A493" s="141" t="s">
        <v>1109</v>
      </c>
      <c r="B493" s="80">
        <v>3308</v>
      </c>
      <c r="C493" s="80">
        <v>1446</v>
      </c>
      <c r="D493" s="80">
        <v>47019</v>
      </c>
      <c r="E493" s="167">
        <v>9178</v>
      </c>
      <c r="F493" s="73">
        <v>8.1</v>
      </c>
      <c r="G493">
        <v>663</v>
      </c>
      <c r="H493" s="72">
        <f t="shared" si="7"/>
        <v>0.45850622406639002</v>
      </c>
    </row>
    <row r="494" spans="1:8" x14ac:dyDescent="0.25">
      <c r="A494" s="141" t="s">
        <v>2324</v>
      </c>
      <c r="B494" s="80">
        <v>179</v>
      </c>
      <c r="C494" s="80">
        <v>218</v>
      </c>
      <c r="D494" s="80">
        <v>41406</v>
      </c>
      <c r="E494" s="167">
        <v>1193</v>
      </c>
      <c r="F494" s="73">
        <v>10.4</v>
      </c>
      <c r="G494">
        <v>37</v>
      </c>
      <c r="H494" s="72">
        <f t="shared" si="7"/>
        <v>0.16972477064220184</v>
      </c>
    </row>
    <row r="495" spans="1:8" x14ac:dyDescent="0.25">
      <c r="A495" s="141" t="s">
        <v>1111</v>
      </c>
      <c r="B495" s="80">
        <v>4102</v>
      </c>
      <c r="C495" s="80">
        <v>1377</v>
      </c>
      <c r="D495" s="80">
        <v>95398</v>
      </c>
      <c r="E495" s="167">
        <v>14289</v>
      </c>
      <c r="F495" s="73">
        <v>1.5</v>
      </c>
      <c r="G495">
        <v>277</v>
      </c>
      <c r="H495" s="72">
        <f t="shared" si="7"/>
        <v>0.20116194625998549</v>
      </c>
    </row>
    <row r="496" spans="1:8" x14ac:dyDescent="0.25">
      <c r="A496" s="141" t="s">
        <v>1807</v>
      </c>
      <c r="B496" s="80">
        <v>737</v>
      </c>
      <c r="C496" s="80">
        <v>288</v>
      </c>
      <c r="D496" s="80">
        <v>73942</v>
      </c>
      <c r="E496" s="167">
        <v>24304</v>
      </c>
      <c r="F496" s="73">
        <v>2.8</v>
      </c>
      <c r="G496">
        <v>63</v>
      </c>
      <c r="H496" s="72">
        <f t="shared" si="7"/>
        <v>0.21875</v>
      </c>
    </row>
    <row r="497" spans="1:8" x14ac:dyDescent="0.25">
      <c r="A497" s="141" t="s">
        <v>2325</v>
      </c>
      <c r="B497" s="80">
        <v>27</v>
      </c>
      <c r="C497" s="80">
        <v>24</v>
      </c>
      <c r="D497" s="80">
        <v>41429</v>
      </c>
      <c r="E497" s="167">
        <v>10097</v>
      </c>
      <c r="F497" s="73">
        <v>8.3000000000000007</v>
      </c>
      <c r="G497">
        <v>2</v>
      </c>
      <c r="H497" s="72">
        <f t="shared" si="7"/>
        <v>8.3333333333333329E-2</v>
      </c>
    </row>
    <row r="498" spans="1:8" x14ac:dyDescent="0.25">
      <c r="A498" s="141" t="s">
        <v>1915</v>
      </c>
      <c r="B498" s="80">
        <v>345</v>
      </c>
      <c r="C498" s="80">
        <v>140</v>
      </c>
      <c r="D498" s="80">
        <v>70341</v>
      </c>
      <c r="E498" s="167">
        <v>15239</v>
      </c>
      <c r="F498" s="73">
        <v>2.4</v>
      </c>
      <c r="G498">
        <v>74</v>
      </c>
      <c r="H498" s="72">
        <f t="shared" si="7"/>
        <v>0.52857142857142858</v>
      </c>
    </row>
    <row r="499" spans="1:8" x14ac:dyDescent="0.25">
      <c r="A499" s="141" t="s">
        <v>1113</v>
      </c>
      <c r="B499" s="80">
        <v>166</v>
      </c>
      <c r="C499" s="80">
        <v>88</v>
      </c>
      <c r="D499" s="80">
        <v>40625</v>
      </c>
      <c r="E499" s="167">
        <v>22020</v>
      </c>
      <c r="F499" s="73">
        <v>0</v>
      </c>
      <c r="G499">
        <v>52</v>
      </c>
      <c r="H499" s="72">
        <f t="shared" si="7"/>
        <v>0.59090909090909094</v>
      </c>
    </row>
    <row r="500" spans="1:8" x14ac:dyDescent="0.25">
      <c r="A500" s="141" t="s">
        <v>37</v>
      </c>
      <c r="B500" s="80">
        <v>218</v>
      </c>
      <c r="C500" s="80">
        <v>309</v>
      </c>
      <c r="D500" s="80">
        <v>42348</v>
      </c>
      <c r="E500" s="167">
        <v>30399</v>
      </c>
      <c r="F500" s="73">
        <v>10.3</v>
      </c>
      <c r="G500">
        <v>40</v>
      </c>
      <c r="H500" s="72">
        <f t="shared" si="7"/>
        <v>0.12944983818770225</v>
      </c>
    </row>
    <row r="501" spans="1:8" x14ac:dyDescent="0.25">
      <c r="A501" s="141" t="s">
        <v>1115</v>
      </c>
      <c r="B501" s="80">
        <v>4557</v>
      </c>
      <c r="C501" s="80">
        <v>2114</v>
      </c>
      <c r="D501" s="80">
        <v>63368</v>
      </c>
      <c r="E501" s="167">
        <v>9862</v>
      </c>
      <c r="F501" s="73">
        <v>1.1000000000000001</v>
      </c>
      <c r="G501">
        <v>896</v>
      </c>
      <c r="H501" s="72">
        <f t="shared" si="7"/>
        <v>0.42384105960264901</v>
      </c>
    </row>
    <row r="502" spans="1:8" x14ac:dyDescent="0.25">
      <c r="A502" s="141" t="s">
        <v>1718</v>
      </c>
      <c r="B502" s="80">
        <v>486</v>
      </c>
      <c r="C502" s="80">
        <v>217</v>
      </c>
      <c r="D502" s="80">
        <v>41563</v>
      </c>
      <c r="E502" s="167">
        <v>4641</v>
      </c>
      <c r="F502" s="73">
        <v>9.5</v>
      </c>
      <c r="G502">
        <v>200</v>
      </c>
      <c r="H502" s="72">
        <f t="shared" si="7"/>
        <v>0.92165898617511521</v>
      </c>
    </row>
    <row r="503" spans="1:8" x14ac:dyDescent="0.25">
      <c r="A503" s="141" t="s">
        <v>1972</v>
      </c>
      <c r="B503" s="80">
        <v>419</v>
      </c>
      <c r="C503" s="80">
        <v>212</v>
      </c>
      <c r="D503" s="80">
        <v>52500</v>
      </c>
      <c r="E503" s="167">
        <v>7785</v>
      </c>
      <c r="F503" s="73">
        <v>1.7</v>
      </c>
      <c r="G503">
        <v>81</v>
      </c>
      <c r="H503" s="72">
        <f t="shared" si="7"/>
        <v>0.38207547169811323</v>
      </c>
    </row>
    <row r="504" spans="1:8" x14ac:dyDescent="0.25">
      <c r="A504" s="141" t="s">
        <v>1117</v>
      </c>
      <c r="B504" s="80">
        <v>797</v>
      </c>
      <c r="C504" s="80">
        <v>395</v>
      </c>
      <c r="D504" s="80">
        <v>60000</v>
      </c>
      <c r="E504" s="167">
        <v>11009</v>
      </c>
      <c r="F504" s="73">
        <v>3.1</v>
      </c>
      <c r="G504">
        <v>138</v>
      </c>
      <c r="H504" s="72">
        <f t="shared" si="7"/>
        <v>0.34936708860759491</v>
      </c>
    </row>
    <row r="505" spans="1:8" x14ac:dyDescent="0.25">
      <c r="A505" s="141" t="s">
        <v>2397</v>
      </c>
      <c r="B505" s="80">
        <v>32</v>
      </c>
      <c r="C505" s="80">
        <v>46</v>
      </c>
      <c r="D505" s="80"/>
      <c r="E505" s="167" t="s">
        <v>0</v>
      </c>
      <c r="F505" s="73">
        <v>0</v>
      </c>
      <c r="G505">
        <v>20</v>
      </c>
      <c r="H505" s="72">
        <f t="shared" si="7"/>
        <v>0.43478260869565216</v>
      </c>
    </row>
    <row r="506" spans="1:8" x14ac:dyDescent="0.25">
      <c r="A506" s="141" t="s">
        <v>1721</v>
      </c>
      <c r="B506" s="80">
        <v>429</v>
      </c>
      <c r="C506" s="80">
        <v>211</v>
      </c>
      <c r="D506" s="80">
        <v>36696</v>
      </c>
      <c r="E506" s="167">
        <v>10204</v>
      </c>
      <c r="F506" s="73">
        <v>9.4</v>
      </c>
      <c r="G506">
        <v>149</v>
      </c>
      <c r="H506" s="72">
        <f t="shared" si="7"/>
        <v>0.70616113744075826</v>
      </c>
    </row>
    <row r="507" spans="1:8" x14ac:dyDescent="0.25">
      <c r="A507" s="141" t="s">
        <v>1876</v>
      </c>
      <c r="B507" s="80">
        <v>647</v>
      </c>
      <c r="C507" s="80">
        <v>309</v>
      </c>
      <c r="D507" s="80">
        <v>47656</v>
      </c>
      <c r="E507" s="167">
        <v>13625</v>
      </c>
      <c r="F507" s="73">
        <v>3</v>
      </c>
      <c r="G507">
        <v>145</v>
      </c>
      <c r="H507" s="72">
        <f t="shared" si="7"/>
        <v>0.46925566343042069</v>
      </c>
    </row>
    <row r="508" spans="1:8" x14ac:dyDescent="0.25">
      <c r="A508" s="141" t="s">
        <v>1129</v>
      </c>
      <c r="B508" s="80">
        <v>131</v>
      </c>
      <c r="C508" s="80">
        <v>82</v>
      </c>
      <c r="D508" s="80">
        <v>45833</v>
      </c>
      <c r="E508" s="167">
        <v>38143</v>
      </c>
      <c r="F508" s="73">
        <v>0</v>
      </c>
      <c r="G508">
        <v>48</v>
      </c>
      <c r="H508" s="72">
        <f t="shared" si="7"/>
        <v>0.58536585365853655</v>
      </c>
    </row>
    <row r="509" spans="1:8" x14ac:dyDescent="0.25">
      <c r="A509" s="141" t="s">
        <v>1119</v>
      </c>
      <c r="B509" s="80">
        <v>2539</v>
      </c>
      <c r="C509" s="80">
        <v>1062</v>
      </c>
      <c r="D509" s="80">
        <v>52386</v>
      </c>
      <c r="E509" s="167">
        <v>15265</v>
      </c>
      <c r="F509" s="73">
        <v>2.2000000000000002</v>
      </c>
      <c r="G509">
        <v>557</v>
      </c>
      <c r="H509" s="72">
        <f t="shared" si="7"/>
        <v>0.52448210922787197</v>
      </c>
    </row>
    <row r="510" spans="1:8" x14ac:dyDescent="0.25">
      <c r="A510" s="141" t="s">
        <v>1121</v>
      </c>
      <c r="B510" s="80">
        <v>1647</v>
      </c>
      <c r="C510" s="80">
        <v>1032</v>
      </c>
      <c r="D510" s="80">
        <v>42500</v>
      </c>
      <c r="E510" s="167">
        <v>6320</v>
      </c>
      <c r="F510" s="73">
        <v>1.7</v>
      </c>
      <c r="G510">
        <v>341</v>
      </c>
      <c r="H510" s="72">
        <f t="shared" si="7"/>
        <v>0.33042635658914726</v>
      </c>
    </row>
    <row r="511" spans="1:8" x14ac:dyDescent="0.25">
      <c r="A511" s="141" t="s">
        <v>1871</v>
      </c>
      <c r="B511" s="80">
        <v>1081</v>
      </c>
      <c r="C511" s="80">
        <v>698</v>
      </c>
      <c r="D511" s="80">
        <v>90893</v>
      </c>
      <c r="E511" s="167">
        <v>14591</v>
      </c>
      <c r="F511" s="73">
        <v>2.5</v>
      </c>
      <c r="G511">
        <v>128</v>
      </c>
      <c r="H511" s="72">
        <f t="shared" si="7"/>
        <v>0.18338108882521489</v>
      </c>
    </row>
    <row r="512" spans="1:8" x14ac:dyDescent="0.25">
      <c r="A512" s="141" t="s">
        <v>1983</v>
      </c>
      <c r="B512" s="80">
        <v>193</v>
      </c>
      <c r="C512" s="80">
        <v>105</v>
      </c>
      <c r="D512" s="80">
        <v>43750</v>
      </c>
      <c r="E512" s="167">
        <v>14186</v>
      </c>
      <c r="F512" s="73">
        <v>0</v>
      </c>
      <c r="G512">
        <v>10</v>
      </c>
      <c r="H512" s="72">
        <f t="shared" si="7"/>
        <v>9.5238095238095233E-2</v>
      </c>
    </row>
    <row r="513" spans="1:8" x14ac:dyDescent="0.25">
      <c r="A513" s="141" t="s">
        <v>1844</v>
      </c>
      <c r="B513" s="80">
        <v>1160</v>
      </c>
      <c r="C513" s="80">
        <v>546</v>
      </c>
      <c r="D513" s="80">
        <v>38333</v>
      </c>
      <c r="E513" s="167">
        <v>5134</v>
      </c>
      <c r="F513" s="73">
        <v>10.1</v>
      </c>
      <c r="G513">
        <v>386</v>
      </c>
      <c r="H513" s="72">
        <f t="shared" si="7"/>
        <v>0.706959706959707</v>
      </c>
    </row>
    <row r="514" spans="1:8" x14ac:dyDescent="0.25">
      <c r="A514" s="141" t="s">
        <v>36</v>
      </c>
      <c r="B514" s="80">
        <v>215</v>
      </c>
      <c r="C514" s="80">
        <v>71</v>
      </c>
      <c r="D514" s="80">
        <v>23750</v>
      </c>
      <c r="E514" s="167">
        <v>14007</v>
      </c>
      <c r="F514" s="73">
        <v>33.700000000000003</v>
      </c>
      <c r="G514">
        <v>135</v>
      </c>
      <c r="H514" s="72">
        <f t="shared" ref="H514:H577" si="8">G514/C514</f>
        <v>1.9014084507042253</v>
      </c>
    </row>
    <row r="515" spans="1:8" x14ac:dyDescent="0.25">
      <c r="A515" s="141" t="s">
        <v>1523</v>
      </c>
      <c r="B515" s="80">
        <v>8232</v>
      </c>
      <c r="C515" s="80">
        <v>3151</v>
      </c>
      <c r="D515" s="80">
        <v>112105</v>
      </c>
      <c r="E515" s="167">
        <v>13562</v>
      </c>
      <c r="F515" s="73">
        <v>3</v>
      </c>
      <c r="G515">
        <v>667</v>
      </c>
      <c r="H515" s="72">
        <f t="shared" si="8"/>
        <v>0.21167883211678831</v>
      </c>
    </row>
    <row r="516" spans="1:8" x14ac:dyDescent="0.25">
      <c r="A516" s="141" t="s">
        <v>35</v>
      </c>
      <c r="B516" s="80">
        <v>373</v>
      </c>
      <c r="C516" s="80">
        <v>165</v>
      </c>
      <c r="D516" s="80">
        <v>66250</v>
      </c>
      <c r="E516" s="167">
        <v>18592</v>
      </c>
      <c r="F516" s="73">
        <v>1.1000000000000001</v>
      </c>
      <c r="G516">
        <v>24</v>
      </c>
      <c r="H516" s="72">
        <f t="shared" si="8"/>
        <v>0.14545454545454545</v>
      </c>
    </row>
    <row r="517" spans="1:8" x14ac:dyDescent="0.25">
      <c r="A517" s="141" t="s">
        <v>2028</v>
      </c>
      <c r="B517" s="80">
        <v>56</v>
      </c>
      <c r="C517" s="80">
        <v>28</v>
      </c>
      <c r="D517" s="80">
        <v>54167</v>
      </c>
      <c r="E517" s="167">
        <v>43600</v>
      </c>
      <c r="F517" s="73">
        <v>0</v>
      </c>
      <c r="G517">
        <v>17</v>
      </c>
      <c r="H517" s="72">
        <f t="shared" si="8"/>
        <v>0.6071428571428571</v>
      </c>
    </row>
    <row r="518" spans="1:8" x14ac:dyDescent="0.25">
      <c r="A518" s="141" t="s">
        <v>2326</v>
      </c>
      <c r="B518" s="80">
        <v>29</v>
      </c>
      <c r="C518" s="80">
        <v>46</v>
      </c>
      <c r="D518" s="80">
        <v>33750</v>
      </c>
      <c r="E518" s="167">
        <v>16752</v>
      </c>
      <c r="F518" s="73">
        <v>0</v>
      </c>
      <c r="G518">
        <v>12</v>
      </c>
      <c r="H518" s="72">
        <f t="shared" si="8"/>
        <v>0.2608695652173913</v>
      </c>
    </row>
    <row r="519" spans="1:8" x14ac:dyDescent="0.25">
      <c r="A519" s="141" t="s">
        <v>1480</v>
      </c>
      <c r="B519" s="80">
        <v>42685</v>
      </c>
      <c r="C519" s="80">
        <v>18306</v>
      </c>
      <c r="D519" s="80">
        <v>52411</v>
      </c>
      <c r="E519" s="167">
        <v>3861</v>
      </c>
      <c r="F519" s="73">
        <v>4.5</v>
      </c>
      <c r="G519">
        <v>13195</v>
      </c>
      <c r="H519" s="72">
        <f t="shared" si="8"/>
        <v>0.72080192286681966</v>
      </c>
    </row>
    <row r="520" spans="1:8" x14ac:dyDescent="0.25">
      <c r="A520" s="141" t="s">
        <v>1744</v>
      </c>
      <c r="B520" s="80">
        <v>950</v>
      </c>
      <c r="C520" s="80">
        <v>371</v>
      </c>
      <c r="D520" s="80">
        <v>86500</v>
      </c>
      <c r="E520" s="167">
        <v>19217</v>
      </c>
      <c r="F520" s="73">
        <v>0.9</v>
      </c>
      <c r="G520">
        <v>79</v>
      </c>
      <c r="H520" s="72">
        <f t="shared" si="8"/>
        <v>0.21293800539083557</v>
      </c>
    </row>
    <row r="521" spans="1:8" x14ac:dyDescent="0.25">
      <c r="A521" s="141" t="s">
        <v>1459</v>
      </c>
      <c r="B521" s="80">
        <v>71569</v>
      </c>
      <c r="C521" s="80">
        <v>28671</v>
      </c>
      <c r="D521" s="80">
        <v>113793</v>
      </c>
      <c r="E521" s="167">
        <v>4824</v>
      </c>
      <c r="F521" s="73">
        <v>2.7</v>
      </c>
      <c r="G521">
        <v>4490</v>
      </c>
      <c r="H521" s="72">
        <f t="shared" si="8"/>
        <v>0.15660423424366085</v>
      </c>
    </row>
    <row r="522" spans="1:8" x14ac:dyDescent="0.25">
      <c r="A522" s="141" t="s">
        <v>1659</v>
      </c>
      <c r="B522" s="80">
        <v>2162</v>
      </c>
      <c r="C522" s="80">
        <v>871</v>
      </c>
      <c r="D522" s="80">
        <v>68295</v>
      </c>
      <c r="E522" s="167">
        <v>6629</v>
      </c>
      <c r="F522" s="73">
        <v>4.9000000000000004</v>
      </c>
      <c r="G522">
        <v>347</v>
      </c>
      <c r="H522" s="72">
        <f t="shared" si="8"/>
        <v>0.39839265212399538</v>
      </c>
    </row>
    <row r="523" spans="1:8" x14ac:dyDescent="0.25">
      <c r="A523" s="141" t="s">
        <v>1854</v>
      </c>
      <c r="B523" s="80">
        <v>1737</v>
      </c>
      <c r="C523" s="80">
        <v>770</v>
      </c>
      <c r="D523" s="80">
        <v>64821</v>
      </c>
      <c r="E523" s="167">
        <v>16602</v>
      </c>
      <c r="F523" s="73">
        <v>2.2999999999999998</v>
      </c>
      <c r="G523">
        <v>325</v>
      </c>
      <c r="H523" s="72">
        <f t="shared" si="8"/>
        <v>0.42207792207792205</v>
      </c>
    </row>
    <row r="524" spans="1:8" x14ac:dyDescent="0.25">
      <c r="A524" s="141" t="s">
        <v>1481</v>
      </c>
      <c r="B524" s="80">
        <v>1606</v>
      </c>
      <c r="C524" s="80">
        <v>689</v>
      </c>
      <c r="D524" s="80">
        <v>68478</v>
      </c>
      <c r="E524" s="167">
        <v>5014</v>
      </c>
      <c r="F524" s="73">
        <v>3</v>
      </c>
      <c r="G524">
        <v>162</v>
      </c>
      <c r="H524" s="72">
        <f t="shared" si="8"/>
        <v>0.23512336719883889</v>
      </c>
    </row>
    <row r="525" spans="1:8" x14ac:dyDescent="0.25">
      <c r="A525" s="141" t="s">
        <v>1719</v>
      </c>
      <c r="B525" s="80">
        <v>142</v>
      </c>
      <c r="C525" s="80">
        <v>103</v>
      </c>
      <c r="D525" s="80">
        <v>38750</v>
      </c>
      <c r="E525" s="167">
        <v>22302</v>
      </c>
      <c r="F525" s="73">
        <v>10.4</v>
      </c>
      <c r="G525">
        <v>53</v>
      </c>
      <c r="H525" s="72">
        <f t="shared" si="8"/>
        <v>0.5145631067961165</v>
      </c>
    </row>
    <row r="526" spans="1:8" x14ac:dyDescent="0.25">
      <c r="A526" s="141" t="s">
        <v>2327</v>
      </c>
      <c r="B526" s="80">
        <v>40684</v>
      </c>
      <c r="C526" s="80">
        <v>15295</v>
      </c>
      <c r="D526" s="80">
        <v>72959</v>
      </c>
      <c r="E526" s="167">
        <v>5231</v>
      </c>
      <c r="F526" s="73">
        <v>4</v>
      </c>
      <c r="G526">
        <v>7325</v>
      </c>
      <c r="H526" s="72">
        <f t="shared" si="8"/>
        <v>0.47891467799934617</v>
      </c>
    </row>
    <row r="527" spans="1:8" x14ac:dyDescent="0.25">
      <c r="A527" s="141" t="s">
        <v>1788</v>
      </c>
      <c r="B527" s="80">
        <v>534</v>
      </c>
      <c r="C527" s="80">
        <v>285</v>
      </c>
      <c r="D527" s="80">
        <v>34750</v>
      </c>
      <c r="E527" s="167">
        <v>13251</v>
      </c>
      <c r="F527" s="73">
        <v>9.1</v>
      </c>
      <c r="G527">
        <v>235</v>
      </c>
      <c r="H527" s="72">
        <f t="shared" si="8"/>
        <v>0.82456140350877194</v>
      </c>
    </row>
    <row r="528" spans="1:8" x14ac:dyDescent="0.25">
      <c r="A528" s="141" t="s">
        <v>1988</v>
      </c>
      <c r="B528" s="80">
        <v>167</v>
      </c>
      <c r="C528" s="80">
        <v>108</v>
      </c>
      <c r="D528" s="80">
        <v>23846</v>
      </c>
      <c r="E528" s="167">
        <v>6570</v>
      </c>
      <c r="F528" s="73">
        <v>0</v>
      </c>
      <c r="G528">
        <v>83</v>
      </c>
      <c r="H528" s="72">
        <f t="shared" si="8"/>
        <v>0.76851851851851849</v>
      </c>
    </row>
    <row r="529" spans="1:8" x14ac:dyDescent="0.25">
      <c r="A529" s="141" t="s">
        <v>2404</v>
      </c>
      <c r="B529" s="80">
        <v>671</v>
      </c>
      <c r="C529" s="80">
        <v>324</v>
      </c>
      <c r="D529" s="80">
        <v>107857</v>
      </c>
      <c r="E529" s="167">
        <v>51575</v>
      </c>
      <c r="F529" s="73">
        <v>1.9</v>
      </c>
      <c r="G529">
        <v>66</v>
      </c>
      <c r="H529" s="72">
        <f t="shared" si="8"/>
        <v>0.20370370370370369</v>
      </c>
    </row>
    <row r="530" spans="1:8" x14ac:dyDescent="0.25">
      <c r="A530" s="141" t="s">
        <v>34</v>
      </c>
      <c r="B530" s="80">
        <v>326</v>
      </c>
      <c r="C530" s="80">
        <v>101</v>
      </c>
      <c r="D530" s="80"/>
      <c r="E530" s="167" t="s">
        <v>0</v>
      </c>
      <c r="F530" s="73">
        <v>0</v>
      </c>
      <c r="G530">
        <v>7</v>
      </c>
      <c r="H530" s="72">
        <f t="shared" si="8"/>
        <v>6.9306930693069313E-2</v>
      </c>
    </row>
    <row r="531" spans="1:8" x14ac:dyDescent="0.25">
      <c r="A531" s="141" t="s">
        <v>1123</v>
      </c>
      <c r="B531" s="80">
        <v>13604</v>
      </c>
      <c r="C531" s="80">
        <v>5925</v>
      </c>
      <c r="D531" s="80">
        <v>48236</v>
      </c>
      <c r="E531" s="167">
        <v>4966</v>
      </c>
      <c r="F531" s="73">
        <v>2.6</v>
      </c>
      <c r="G531">
        <v>3343</v>
      </c>
      <c r="H531" s="72">
        <f t="shared" si="8"/>
        <v>0.56421940928270042</v>
      </c>
    </row>
    <row r="532" spans="1:8" x14ac:dyDescent="0.25">
      <c r="A532" s="141" t="s">
        <v>33</v>
      </c>
      <c r="B532" s="80">
        <v>904</v>
      </c>
      <c r="C532" s="80">
        <v>459</v>
      </c>
      <c r="D532" s="80">
        <v>73466</v>
      </c>
      <c r="E532" s="167">
        <v>25726</v>
      </c>
      <c r="F532" s="73">
        <v>2.6</v>
      </c>
      <c r="G532">
        <v>69</v>
      </c>
      <c r="H532" s="72">
        <f t="shared" si="8"/>
        <v>0.15032679738562091</v>
      </c>
    </row>
    <row r="533" spans="1:8" x14ac:dyDescent="0.25">
      <c r="A533" s="141" t="s">
        <v>1125</v>
      </c>
      <c r="B533" s="80">
        <v>2313</v>
      </c>
      <c r="C533" s="80">
        <v>757</v>
      </c>
      <c r="D533" s="80">
        <v>100958</v>
      </c>
      <c r="E533" s="167">
        <v>5249</v>
      </c>
      <c r="F533" s="73">
        <v>3</v>
      </c>
      <c r="G533">
        <v>173</v>
      </c>
      <c r="H533" s="72">
        <f t="shared" si="8"/>
        <v>0.2285336856010568</v>
      </c>
    </row>
    <row r="534" spans="1:8" x14ac:dyDescent="0.25">
      <c r="A534" s="141" t="s">
        <v>1127</v>
      </c>
      <c r="B534" s="80">
        <v>357</v>
      </c>
      <c r="C534" s="80">
        <v>215</v>
      </c>
      <c r="D534" s="80">
        <v>35833</v>
      </c>
      <c r="E534" s="167">
        <v>5768</v>
      </c>
      <c r="F534" s="73">
        <v>4</v>
      </c>
      <c r="G534">
        <v>86</v>
      </c>
      <c r="H534" s="72">
        <f t="shared" si="8"/>
        <v>0.4</v>
      </c>
    </row>
    <row r="535" spans="1:8" x14ac:dyDescent="0.25">
      <c r="A535" s="141" t="s">
        <v>1584</v>
      </c>
      <c r="B535" s="80">
        <v>935</v>
      </c>
      <c r="C535" s="80">
        <v>445</v>
      </c>
      <c r="D535" s="80">
        <v>73529</v>
      </c>
      <c r="E535" s="167">
        <v>7975</v>
      </c>
      <c r="F535" s="73">
        <v>2.7</v>
      </c>
      <c r="G535">
        <v>218</v>
      </c>
      <c r="H535" s="72">
        <f t="shared" si="8"/>
        <v>0.48988764044943822</v>
      </c>
    </row>
    <row r="536" spans="1:8" x14ac:dyDescent="0.25">
      <c r="A536" s="141" t="s">
        <v>1629</v>
      </c>
      <c r="B536" s="80">
        <v>140</v>
      </c>
      <c r="C536" s="80">
        <v>71</v>
      </c>
      <c r="D536" s="80">
        <v>26875</v>
      </c>
      <c r="E536" s="167">
        <v>9652</v>
      </c>
      <c r="F536" s="73">
        <v>0</v>
      </c>
      <c r="G536">
        <v>66</v>
      </c>
      <c r="H536" s="72">
        <f t="shared" si="8"/>
        <v>0.92957746478873238</v>
      </c>
    </row>
    <row r="537" spans="1:8" x14ac:dyDescent="0.25">
      <c r="A537" s="141" t="s">
        <v>1543</v>
      </c>
      <c r="B537" s="80">
        <v>1220</v>
      </c>
      <c r="C537" s="80">
        <v>459</v>
      </c>
      <c r="D537" s="80">
        <v>78929</v>
      </c>
      <c r="E537" s="167">
        <v>12866</v>
      </c>
      <c r="F537" s="73">
        <v>3</v>
      </c>
      <c r="G537">
        <v>78</v>
      </c>
      <c r="H537" s="72">
        <f t="shared" si="8"/>
        <v>0.16993464052287582</v>
      </c>
    </row>
    <row r="538" spans="1:8" x14ac:dyDescent="0.25">
      <c r="A538" s="141" t="s">
        <v>2333</v>
      </c>
      <c r="B538" s="80">
        <v>475</v>
      </c>
      <c r="C538" s="80">
        <v>223</v>
      </c>
      <c r="D538" s="80">
        <v>103125</v>
      </c>
      <c r="E538" s="167">
        <v>47989</v>
      </c>
      <c r="F538" s="73">
        <v>0.8</v>
      </c>
      <c r="G538">
        <v>12</v>
      </c>
      <c r="H538" s="72">
        <f t="shared" si="8"/>
        <v>5.3811659192825115E-2</v>
      </c>
    </row>
    <row r="539" spans="1:8" x14ac:dyDescent="0.25">
      <c r="A539" s="141" t="s">
        <v>1618</v>
      </c>
      <c r="B539" s="80">
        <v>6549</v>
      </c>
      <c r="C539" s="80">
        <v>2347</v>
      </c>
      <c r="D539" s="80">
        <v>156563</v>
      </c>
      <c r="E539" s="167">
        <v>46364</v>
      </c>
      <c r="F539" s="73">
        <v>1.5</v>
      </c>
      <c r="G539">
        <v>373</v>
      </c>
      <c r="H539" s="72">
        <f t="shared" si="8"/>
        <v>0.15892628887942054</v>
      </c>
    </row>
    <row r="540" spans="1:8" x14ac:dyDescent="0.25">
      <c r="A540" s="141" t="s">
        <v>2334</v>
      </c>
      <c r="B540" s="80">
        <v>167</v>
      </c>
      <c r="C540" s="80">
        <v>75</v>
      </c>
      <c r="D540" s="80">
        <v>59375</v>
      </c>
      <c r="E540" s="167">
        <v>14426</v>
      </c>
      <c r="F540" s="73">
        <v>1.8</v>
      </c>
      <c r="G540">
        <v>28</v>
      </c>
      <c r="H540" s="72">
        <f t="shared" si="8"/>
        <v>0.37333333333333335</v>
      </c>
    </row>
    <row r="541" spans="1:8" x14ac:dyDescent="0.25">
      <c r="A541" s="141" t="s">
        <v>1133</v>
      </c>
      <c r="B541" s="80">
        <v>3651</v>
      </c>
      <c r="C541" s="80">
        <v>1667</v>
      </c>
      <c r="D541" s="80">
        <v>50920</v>
      </c>
      <c r="E541" s="167">
        <v>4397</v>
      </c>
      <c r="F541" s="73">
        <v>2</v>
      </c>
      <c r="G541">
        <v>561</v>
      </c>
      <c r="H541" s="72">
        <f t="shared" si="8"/>
        <v>0.33653269346130776</v>
      </c>
    </row>
    <row r="542" spans="1:8" x14ac:dyDescent="0.25">
      <c r="A542" s="141" t="s">
        <v>1564</v>
      </c>
      <c r="B542" s="80">
        <v>1053</v>
      </c>
      <c r="C542" s="80">
        <v>575</v>
      </c>
      <c r="D542" s="80">
        <v>40655</v>
      </c>
      <c r="E542" s="167">
        <v>5264</v>
      </c>
      <c r="F542" s="73">
        <v>5.0999999999999996</v>
      </c>
      <c r="G542">
        <v>340</v>
      </c>
      <c r="H542" s="72">
        <f t="shared" si="8"/>
        <v>0.59130434782608698</v>
      </c>
    </row>
    <row r="543" spans="1:8" x14ac:dyDescent="0.25">
      <c r="A543" s="141" t="s">
        <v>2335</v>
      </c>
      <c r="B543" s="80">
        <v>149</v>
      </c>
      <c r="C543" s="80">
        <v>75</v>
      </c>
      <c r="D543" s="80">
        <v>49821</v>
      </c>
      <c r="E543" s="167">
        <v>45731</v>
      </c>
      <c r="F543" s="73">
        <v>1.1000000000000001</v>
      </c>
      <c r="G543">
        <v>22</v>
      </c>
      <c r="H543" s="72">
        <f t="shared" si="8"/>
        <v>0.29333333333333333</v>
      </c>
    </row>
    <row r="544" spans="1:8" x14ac:dyDescent="0.25">
      <c r="A544" s="141" t="s">
        <v>2336</v>
      </c>
      <c r="B544" s="80">
        <v>11339</v>
      </c>
      <c r="C544" s="80">
        <v>4688</v>
      </c>
      <c r="D544" s="80">
        <v>119347</v>
      </c>
      <c r="E544" s="167">
        <v>9111</v>
      </c>
      <c r="F544" s="73">
        <v>2</v>
      </c>
      <c r="G544">
        <v>1029</v>
      </c>
      <c r="H544" s="72">
        <f t="shared" si="8"/>
        <v>0.21949658703071673</v>
      </c>
    </row>
    <row r="545" spans="1:8" x14ac:dyDescent="0.25">
      <c r="A545" s="141" t="s">
        <v>2337</v>
      </c>
      <c r="B545" s="80">
        <v>147</v>
      </c>
      <c r="C545" s="80">
        <v>85</v>
      </c>
      <c r="D545" s="80"/>
      <c r="E545" s="167" t="s">
        <v>0</v>
      </c>
      <c r="F545" s="73">
        <v>1.6</v>
      </c>
      <c r="G545">
        <v>57</v>
      </c>
      <c r="H545" s="72">
        <f t="shared" si="8"/>
        <v>0.6705882352941176</v>
      </c>
    </row>
    <row r="546" spans="1:8" x14ac:dyDescent="0.25">
      <c r="A546" s="141" t="s">
        <v>32</v>
      </c>
      <c r="B546" s="80">
        <v>41</v>
      </c>
      <c r="C546" s="80">
        <v>40</v>
      </c>
      <c r="D546" s="80"/>
      <c r="E546" s="167" t="s">
        <v>0</v>
      </c>
      <c r="F546" s="73">
        <v>0</v>
      </c>
      <c r="G546">
        <v>11</v>
      </c>
      <c r="H546" s="72">
        <f t="shared" si="8"/>
        <v>0.27500000000000002</v>
      </c>
    </row>
    <row r="547" spans="1:8" x14ac:dyDescent="0.25">
      <c r="A547" s="141" t="s">
        <v>1769</v>
      </c>
      <c r="B547" s="80">
        <v>281</v>
      </c>
      <c r="C547" s="80">
        <v>162</v>
      </c>
      <c r="D547" s="80">
        <v>41429</v>
      </c>
      <c r="E547" s="167">
        <v>8909</v>
      </c>
      <c r="F547" s="73">
        <v>2.7</v>
      </c>
      <c r="G547">
        <v>67</v>
      </c>
      <c r="H547" s="72">
        <f t="shared" si="8"/>
        <v>0.41358024691358025</v>
      </c>
    </row>
    <row r="548" spans="1:8" x14ac:dyDescent="0.25">
      <c r="A548" s="141" t="s">
        <v>31</v>
      </c>
      <c r="B548" s="80">
        <v>37</v>
      </c>
      <c r="C548" s="80">
        <v>9</v>
      </c>
      <c r="D548" s="80">
        <v>39583</v>
      </c>
      <c r="E548" s="167">
        <v>37233</v>
      </c>
      <c r="F548" s="73">
        <v>26.7</v>
      </c>
      <c r="G548">
        <v>17</v>
      </c>
      <c r="H548" s="72">
        <f t="shared" si="8"/>
        <v>1.8888888888888888</v>
      </c>
    </row>
    <row r="549" spans="1:8" x14ac:dyDescent="0.25">
      <c r="A549" s="141" t="s">
        <v>2338</v>
      </c>
      <c r="B549" s="80">
        <v>136</v>
      </c>
      <c r="C549" s="80">
        <v>59</v>
      </c>
      <c r="D549" s="80">
        <v>83750</v>
      </c>
      <c r="E549" s="167">
        <v>37393</v>
      </c>
      <c r="F549" s="73">
        <v>0</v>
      </c>
      <c r="G549">
        <v>12</v>
      </c>
      <c r="H549" s="72">
        <f t="shared" si="8"/>
        <v>0.20338983050847459</v>
      </c>
    </row>
    <row r="550" spans="1:8" x14ac:dyDescent="0.25">
      <c r="A550" s="141" t="s">
        <v>1870</v>
      </c>
      <c r="B550" s="80">
        <v>2894</v>
      </c>
      <c r="C550" s="80">
        <v>1440</v>
      </c>
      <c r="D550" s="80">
        <v>41695</v>
      </c>
      <c r="E550" s="167">
        <v>5645</v>
      </c>
      <c r="F550" s="73">
        <v>3.3</v>
      </c>
      <c r="G550">
        <v>610</v>
      </c>
      <c r="H550" s="72">
        <f t="shared" si="8"/>
        <v>0.4236111111111111</v>
      </c>
    </row>
    <row r="551" spans="1:8" x14ac:dyDescent="0.25">
      <c r="A551" s="141" t="s">
        <v>1883</v>
      </c>
      <c r="B551" s="80">
        <v>364</v>
      </c>
      <c r="C551" s="80">
        <v>173</v>
      </c>
      <c r="D551" s="80">
        <v>48750</v>
      </c>
      <c r="E551" s="167">
        <v>18015</v>
      </c>
      <c r="F551" s="73">
        <v>2</v>
      </c>
      <c r="G551">
        <v>140</v>
      </c>
      <c r="H551" s="72">
        <f t="shared" si="8"/>
        <v>0.80924855491329484</v>
      </c>
    </row>
    <row r="552" spans="1:8" x14ac:dyDescent="0.25">
      <c r="A552" s="141" t="s">
        <v>2339</v>
      </c>
      <c r="B552" s="80">
        <v>106</v>
      </c>
      <c r="C552" s="80">
        <v>48</v>
      </c>
      <c r="D552" s="80">
        <v>49375</v>
      </c>
      <c r="E552" s="167">
        <v>11678</v>
      </c>
      <c r="F552" s="73">
        <v>9.4</v>
      </c>
      <c r="G552">
        <v>28</v>
      </c>
      <c r="H552" s="72">
        <f t="shared" si="8"/>
        <v>0.58333333333333337</v>
      </c>
    </row>
    <row r="553" spans="1:8" x14ac:dyDescent="0.25">
      <c r="A553" s="141" t="s">
        <v>1572</v>
      </c>
      <c r="B553" s="80">
        <v>267</v>
      </c>
      <c r="C553" s="80">
        <v>95</v>
      </c>
      <c r="D553" s="80">
        <v>56071</v>
      </c>
      <c r="E553" s="167">
        <v>8210</v>
      </c>
      <c r="F553" s="73">
        <v>0</v>
      </c>
      <c r="G553">
        <v>32</v>
      </c>
      <c r="H553" s="72">
        <f t="shared" si="8"/>
        <v>0.33684210526315789</v>
      </c>
    </row>
    <row r="554" spans="1:8" x14ac:dyDescent="0.25">
      <c r="A554" s="141" t="s">
        <v>1858</v>
      </c>
      <c r="B554" s="80">
        <v>188</v>
      </c>
      <c r="C554" s="80">
        <v>109</v>
      </c>
      <c r="D554" s="80">
        <v>54167</v>
      </c>
      <c r="E554" s="167">
        <v>10380</v>
      </c>
      <c r="F554" s="73">
        <v>2</v>
      </c>
      <c r="G554">
        <v>17</v>
      </c>
      <c r="H554" s="72">
        <f t="shared" si="8"/>
        <v>0.15596330275229359</v>
      </c>
    </row>
    <row r="555" spans="1:8" x14ac:dyDescent="0.25">
      <c r="A555" s="141" t="s">
        <v>2340</v>
      </c>
      <c r="B555" s="80">
        <v>372</v>
      </c>
      <c r="C555" s="80">
        <v>154</v>
      </c>
      <c r="D555" s="80">
        <v>56000</v>
      </c>
      <c r="E555" s="167">
        <v>20315</v>
      </c>
      <c r="F555" s="73">
        <v>3.4</v>
      </c>
      <c r="G555">
        <v>94</v>
      </c>
      <c r="H555" s="72">
        <f t="shared" si="8"/>
        <v>0.61038961038961037</v>
      </c>
    </row>
    <row r="556" spans="1:8" x14ac:dyDescent="0.25">
      <c r="A556" s="141" t="s">
        <v>1627</v>
      </c>
      <c r="B556" s="80">
        <v>424536</v>
      </c>
      <c r="C556" s="80">
        <v>190105</v>
      </c>
      <c r="D556" s="80">
        <v>66068</v>
      </c>
      <c r="E556" s="167">
        <v>1092</v>
      </c>
      <c r="F556" s="73">
        <v>5.2</v>
      </c>
      <c r="G556">
        <v>108656</v>
      </c>
      <c r="H556" s="72">
        <f t="shared" si="8"/>
        <v>0.57155782330817184</v>
      </c>
    </row>
    <row r="557" spans="1:8" x14ac:dyDescent="0.25">
      <c r="A557" s="141" t="s">
        <v>2341</v>
      </c>
      <c r="B557" s="80">
        <v>97</v>
      </c>
      <c r="C557" s="80">
        <v>55</v>
      </c>
      <c r="D557" s="80">
        <v>73250</v>
      </c>
      <c r="E557" s="167">
        <v>27395</v>
      </c>
      <c r="F557" s="73">
        <v>3.3</v>
      </c>
      <c r="G557">
        <v>15</v>
      </c>
      <c r="H557" s="72">
        <f t="shared" si="8"/>
        <v>0.27272727272727271</v>
      </c>
    </row>
    <row r="558" spans="1:8" x14ac:dyDescent="0.25">
      <c r="A558" s="141" t="s">
        <v>1965</v>
      </c>
      <c r="B558" s="80">
        <v>1307</v>
      </c>
      <c r="C558" s="80">
        <v>627</v>
      </c>
      <c r="D558" s="80">
        <v>58824</v>
      </c>
      <c r="E558" s="167">
        <v>6356</v>
      </c>
      <c r="F558" s="73">
        <v>4.8</v>
      </c>
      <c r="G558">
        <v>174</v>
      </c>
      <c r="H558" s="72">
        <f t="shared" si="8"/>
        <v>0.27751196172248804</v>
      </c>
    </row>
    <row r="559" spans="1:8" x14ac:dyDescent="0.25">
      <c r="A559" s="141" t="s">
        <v>72</v>
      </c>
      <c r="B559" s="80">
        <v>155</v>
      </c>
      <c r="C559" s="80">
        <v>80</v>
      </c>
      <c r="D559" s="80">
        <v>58750</v>
      </c>
      <c r="E559" s="167">
        <v>15318</v>
      </c>
      <c r="F559" s="73">
        <v>2.2000000000000002</v>
      </c>
      <c r="G559">
        <v>13</v>
      </c>
      <c r="H559" s="72">
        <f t="shared" si="8"/>
        <v>0.16250000000000001</v>
      </c>
    </row>
    <row r="560" spans="1:8" x14ac:dyDescent="0.25">
      <c r="A560" s="141" t="s">
        <v>71</v>
      </c>
      <c r="B560" s="80">
        <v>575</v>
      </c>
      <c r="C560" s="80">
        <v>300</v>
      </c>
      <c r="D560" s="80">
        <v>53750</v>
      </c>
      <c r="E560" s="167">
        <v>12779</v>
      </c>
      <c r="F560" s="73">
        <v>4.0999999999999996</v>
      </c>
      <c r="G560">
        <v>126</v>
      </c>
      <c r="H560" s="72">
        <f t="shared" si="8"/>
        <v>0.42</v>
      </c>
    </row>
    <row r="561" spans="1:8" x14ac:dyDescent="0.25">
      <c r="A561" s="141" t="s">
        <v>1460</v>
      </c>
      <c r="B561" s="80">
        <v>53760</v>
      </c>
      <c r="C561" s="80">
        <v>24432</v>
      </c>
      <c r="D561" s="80">
        <v>100363</v>
      </c>
      <c r="E561" s="167">
        <v>3599</v>
      </c>
      <c r="F561" s="73">
        <v>2.2999999999999998</v>
      </c>
      <c r="G561">
        <v>3329</v>
      </c>
      <c r="H561" s="72">
        <f t="shared" si="8"/>
        <v>0.13625573018991485</v>
      </c>
    </row>
    <row r="562" spans="1:8" x14ac:dyDescent="0.25">
      <c r="A562" s="141" t="s">
        <v>1461</v>
      </c>
      <c r="B562" s="80">
        <v>590</v>
      </c>
      <c r="C562" s="80">
        <v>235</v>
      </c>
      <c r="D562" s="80">
        <v>250000</v>
      </c>
      <c r="E562" s="167" t="s">
        <v>10</v>
      </c>
      <c r="F562" s="73">
        <v>0</v>
      </c>
      <c r="G562">
        <v>8</v>
      </c>
      <c r="H562" s="72">
        <f t="shared" si="8"/>
        <v>3.4042553191489362E-2</v>
      </c>
    </row>
    <row r="563" spans="1:8" x14ac:dyDescent="0.25">
      <c r="A563" s="141" t="s">
        <v>1515</v>
      </c>
      <c r="B563" s="80">
        <v>7989</v>
      </c>
      <c r="C563" s="80">
        <v>2874</v>
      </c>
      <c r="D563" s="80">
        <v>144188</v>
      </c>
      <c r="E563" s="167">
        <v>40369</v>
      </c>
      <c r="F563" s="73">
        <v>8.6</v>
      </c>
      <c r="G563">
        <v>754</v>
      </c>
      <c r="H563" s="72">
        <f t="shared" si="8"/>
        <v>0.26235212247738343</v>
      </c>
    </row>
    <row r="564" spans="1:8" x14ac:dyDescent="0.25">
      <c r="A564" s="141" t="s">
        <v>2342</v>
      </c>
      <c r="B564" s="80">
        <v>85</v>
      </c>
      <c r="C564" s="80">
        <v>43</v>
      </c>
      <c r="D564" s="80">
        <v>61458</v>
      </c>
      <c r="E564" s="167">
        <v>4880</v>
      </c>
      <c r="F564" s="73">
        <v>11.1</v>
      </c>
      <c r="G564">
        <v>22</v>
      </c>
      <c r="H564" s="72">
        <f t="shared" si="8"/>
        <v>0.51162790697674421</v>
      </c>
    </row>
    <row r="565" spans="1:8" x14ac:dyDescent="0.25">
      <c r="A565" s="141" t="s">
        <v>1135</v>
      </c>
      <c r="B565" s="80">
        <v>5071</v>
      </c>
      <c r="C565" s="80">
        <v>2599</v>
      </c>
      <c r="D565" s="80">
        <v>51953</v>
      </c>
      <c r="E565" s="167">
        <v>8215</v>
      </c>
      <c r="F565" s="73">
        <v>5.7</v>
      </c>
      <c r="G565">
        <v>1175</v>
      </c>
      <c r="H565" s="72">
        <f t="shared" si="8"/>
        <v>0.45209696036937286</v>
      </c>
    </row>
    <row r="566" spans="1:8" x14ac:dyDescent="0.25">
      <c r="A566" s="141" t="s">
        <v>1137</v>
      </c>
      <c r="B566" s="80">
        <v>3008</v>
      </c>
      <c r="C566" s="80">
        <v>1265</v>
      </c>
      <c r="D566" s="80">
        <v>56042</v>
      </c>
      <c r="E566" s="167">
        <v>11288</v>
      </c>
      <c r="F566" s="73">
        <v>1.9</v>
      </c>
      <c r="G566">
        <v>555</v>
      </c>
      <c r="H566" s="72">
        <f t="shared" si="8"/>
        <v>0.43873517786561267</v>
      </c>
    </row>
    <row r="567" spans="1:8" x14ac:dyDescent="0.25">
      <c r="A567" s="141" t="s">
        <v>1608</v>
      </c>
      <c r="B567" s="80">
        <v>13700</v>
      </c>
      <c r="C567" s="80">
        <v>5104</v>
      </c>
      <c r="D567" s="80">
        <v>71399</v>
      </c>
      <c r="E567" s="167">
        <v>5531</v>
      </c>
      <c r="F567" s="73">
        <v>2.8</v>
      </c>
      <c r="G567">
        <v>2281</v>
      </c>
      <c r="H567" s="72">
        <f t="shared" si="8"/>
        <v>0.44690438871473354</v>
      </c>
    </row>
    <row r="568" spans="1:8" x14ac:dyDescent="0.25">
      <c r="A568" s="141" t="s">
        <v>1856</v>
      </c>
      <c r="B568" s="80">
        <v>3505</v>
      </c>
      <c r="C568" s="80">
        <v>1317</v>
      </c>
      <c r="D568" s="80">
        <v>72375</v>
      </c>
      <c r="E568" s="167">
        <v>7952</v>
      </c>
      <c r="F568" s="73">
        <v>5.2</v>
      </c>
      <c r="G568">
        <v>577</v>
      </c>
      <c r="H568" s="72">
        <f t="shared" si="8"/>
        <v>0.43811693242217159</v>
      </c>
    </row>
    <row r="569" spans="1:8" x14ac:dyDescent="0.25">
      <c r="A569" s="141" t="s">
        <v>1485</v>
      </c>
      <c r="B569" s="80">
        <v>43409</v>
      </c>
      <c r="C569" s="80">
        <v>18245</v>
      </c>
      <c r="D569" s="80">
        <v>61220</v>
      </c>
      <c r="E569" s="167">
        <v>3428</v>
      </c>
      <c r="F569" s="73">
        <v>3.8</v>
      </c>
      <c r="G569">
        <v>9640</v>
      </c>
      <c r="H569" s="72">
        <f t="shared" si="8"/>
        <v>0.52836393532474646</v>
      </c>
    </row>
    <row r="570" spans="1:8" x14ac:dyDescent="0.25">
      <c r="A570" s="141" t="s">
        <v>2398</v>
      </c>
      <c r="B570" s="80">
        <v>2804</v>
      </c>
      <c r="C570" s="80">
        <v>511</v>
      </c>
      <c r="D570" s="80">
        <v>42102</v>
      </c>
      <c r="E570" s="167">
        <v>8741</v>
      </c>
      <c r="F570" s="73">
        <v>1</v>
      </c>
      <c r="G570">
        <v>958</v>
      </c>
      <c r="H570" s="72">
        <f t="shared" si="8"/>
        <v>1.8747553816046967</v>
      </c>
    </row>
    <row r="571" spans="1:8" x14ac:dyDescent="0.25">
      <c r="A571" s="141" t="s">
        <v>1639</v>
      </c>
      <c r="B571" s="80">
        <v>3519</v>
      </c>
      <c r="C571" s="80">
        <v>1569</v>
      </c>
      <c r="D571" s="80">
        <v>40500</v>
      </c>
      <c r="E571" s="167">
        <v>4913</v>
      </c>
      <c r="F571" s="73">
        <v>1.2</v>
      </c>
      <c r="G571">
        <v>931</v>
      </c>
      <c r="H571" s="72">
        <f t="shared" si="8"/>
        <v>0.59337157425111531</v>
      </c>
    </row>
    <row r="572" spans="1:8" x14ac:dyDescent="0.25">
      <c r="A572" s="141" t="s">
        <v>1139</v>
      </c>
      <c r="B572" s="80">
        <v>844</v>
      </c>
      <c r="C572" s="80">
        <v>404</v>
      </c>
      <c r="D572" s="80">
        <v>51250</v>
      </c>
      <c r="E572" s="167">
        <v>13967</v>
      </c>
      <c r="F572" s="73">
        <v>1.5</v>
      </c>
      <c r="G572">
        <v>111</v>
      </c>
      <c r="H572" s="72">
        <f t="shared" si="8"/>
        <v>0.27475247524752477</v>
      </c>
    </row>
    <row r="573" spans="1:8" x14ac:dyDescent="0.25">
      <c r="A573" s="141" t="s">
        <v>1141</v>
      </c>
      <c r="B573" s="80">
        <v>5320</v>
      </c>
      <c r="C573" s="80">
        <v>2362</v>
      </c>
      <c r="D573" s="80">
        <v>58628</v>
      </c>
      <c r="E573" s="167">
        <v>11187</v>
      </c>
      <c r="F573" s="73">
        <v>1.8</v>
      </c>
      <c r="G573">
        <v>1360</v>
      </c>
      <c r="H573" s="72">
        <f t="shared" si="8"/>
        <v>0.57578323454699409</v>
      </c>
    </row>
    <row r="574" spans="1:8" x14ac:dyDescent="0.25">
      <c r="A574" s="141" t="s">
        <v>1539</v>
      </c>
      <c r="B574" s="80">
        <v>959</v>
      </c>
      <c r="C574" s="80">
        <v>434</v>
      </c>
      <c r="D574" s="80">
        <v>58750</v>
      </c>
      <c r="E574" s="167">
        <v>19506</v>
      </c>
      <c r="F574" s="73">
        <v>2.9</v>
      </c>
      <c r="G574">
        <v>167</v>
      </c>
      <c r="H574" s="72">
        <f t="shared" si="8"/>
        <v>0.3847926267281106</v>
      </c>
    </row>
    <row r="575" spans="1:8" x14ac:dyDescent="0.25">
      <c r="A575" s="141" t="s">
        <v>1577</v>
      </c>
      <c r="B575" s="80">
        <v>373</v>
      </c>
      <c r="C575" s="80">
        <v>173</v>
      </c>
      <c r="D575" s="80">
        <v>48125</v>
      </c>
      <c r="E575" s="167">
        <v>11420</v>
      </c>
      <c r="F575" s="73">
        <v>1.5</v>
      </c>
      <c r="G575">
        <v>67</v>
      </c>
      <c r="H575" s="72">
        <f t="shared" si="8"/>
        <v>0.38728323699421963</v>
      </c>
    </row>
    <row r="576" spans="1:8" x14ac:dyDescent="0.25">
      <c r="A576" s="141" t="s">
        <v>1143</v>
      </c>
      <c r="B576" s="80">
        <v>570</v>
      </c>
      <c r="C576" s="80">
        <v>376</v>
      </c>
      <c r="D576" s="80">
        <v>32500</v>
      </c>
      <c r="E576" s="167">
        <v>11337</v>
      </c>
      <c r="F576" s="73">
        <v>4.0999999999999996</v>
      </c>
      <c r="G576">
        <v>184</v>
      </c>
      <c r="H576" s="72">
        <f t="shared" si="8"/>
        <v>0.48936170212765956</v>
      </c>
    </row>
    <row r="577" spans="1:8" x14ac:dyDescent="0.25">
      <c r="A577" s="141" t="s">
        <v>1808</v>
      </c>
      <c r="B577" s="80">
        <v>9498</v>
      </c>
      <c r="C577" s="80">
        <v>4949</v>
      </c>
      <c r="D577" s="80">
        <v>75542</v>
      </c>
      <c r="E577" s="167">
        <v>11204</v>
      </c>
      <c r="F577" s="73">
        <v>1.8</v>
      </c>
      <c r="G577">
        <v>1103</v>
      </c>
      <c r="H577" s="72">
        <f t="shared" si="8"/>
        <v>0.22287330773893715</v>
      </c>
    </row>
    <row r="578" spans="1:8" x14ac:dyDescent="0.25">
      <c r="A578" s="141" t="s">
        <v>1472</v>
      </c>
      <c r="B578" s="80">
        <v>13193</v>
      </c>
      <c r="C578" s="80">
        <v>5188</v>
      </c>
      <c r="D578" s="80">
        <v>73243</v>
      </c>
      <c r="E578" s="167">
        <v>6755</v>
      </c>
      <c r="F578" s="73">
        <v>5.0999999999999996</v>
      </c>
      <c r="G578">
        <v>2224</v>
      </c>
      <c r="H578" s="72">
        <f t="shared" ref="H578:H641" si="9">G578/C578</f>
        <v>0.42868157286044717</v>
      </c>
    </row>
    <row r="579" spans="1:8" x14ac:dyDescent="0.25">
      <c r="A579" s="141" t="s">
        <v>1752</v>
      </c>
      <c r="B579" s="80">
        <v>2854</v>
      </c>
      <c r="C579" s="80">
        <v>1460</v>
      </c>
      <c r="D579" s="80">
        <v>65506</v>
      </c>
      <c r="E579" s="167">
        <v>11536</v>
      </c>
      <c r="F579" s="73">
        <v>2.5</v>
      </c>
      <c r="G579">
        <v>537</v>
      </c>
      <c r="H579" s="72">
        <f t="shared" si="9"/>
        <v>0.36780821917808221</v>
      </c>
    </row>
    <row r="580" spans="1:8" x14ac:dyDescent="0.25">
      <c r="A580" s="141" t="s">
        <v>1145</v>
      </c>
      <c r="B580" s="80">
        <v>2022</v>
      </c>
      <c r="C580" s="80">
        <v>895</v>
      </c>
      <c r="D580" s="80">
        <v>40129</v>
      </c>
      <c r="E580" s="167">
        <v>6324</v>
      </c>
      <c r="F580" s="73">
        <v>6.3</v>
      </c>
      <c r="G580">
        <v>647</v>
      </c>
      <c r="H580" s="72">
        <f t="shared" si="9"/>
        <v>0.72290502793296085</v>
      </c>
    </row>
    <row r="581" spans="1:8" x14ac:dyDescent="0.25">
      <c r="A581" s="141" t="s">
        <v>1596</v>
      </c>
      <c r="B581" s="80">
        <v>232</v>
      </c>
      <c r="C581" s="80">
        <v>102</v>
      </c>
      <c r="D581" s="80">
        <v>61719</v>
      </c>
      <c r="E581" s="167">
        <v>9288</v>
      </c>
      <c r="F581" s="73">
        <v>5.7</v>
      </c>
      <c r="G581">
        <v>34</v>
      </c>
      <c r="H581" s="72">
        <f t="shared" si="9"/>
        <v>0.33333333333333331</v>
      </c>
    </row>
    <row r="582" spans="1:8" x14ac:dyDescent="0.25">
      <c r="A582" s="141" t="s">
        <v>1956</v>
      </c>
      <c r="B582" s="80">
        <v>69</v>
      </c>
      <c r="C582" s="80">
        <v>28</v>
      </c>
      <c r="D582" s="80">
        <v>31250</v>
      </c>
      <c r="E582" s="167">
        <v>5446</v>
      </c>
      <c r="F582" s="73">
        <v>0</v>
      </c>
      <c r="G582">
        <v>38</v>
      </c>
      <c r="H582" s="72">
        <f t="shared" si="9"/>
        <v>1.3571428571428572</v>
      </c>
    </row>
    <row r="583" spans="1:8" x14ac:dyDescent="0.25">
      <c r="A583" s="141" t="s">
        <v>2343</v>
      </c>
      <c r="B583" s="80">
        <v>64</v>
      </c>
      <c r="C583" s="80">
        <v>15</v>
      </c>
      <c r="D583" s="80">
        <v>46250</v>
      </c>
      <c r="E583" s="167">
        <v>22770</v>
      </c>
      <c r="F583" s="73">
        <v>0</v>
      </c>
      <c r="G583">
        <v>61</v>
      </c>
      <c r="H583" s="72">
        <f t="shared" si="9"/>
        <v>4.0666666666666664</v>
      </c>
    </row>
    <row r="584" spans="1:8" x14ac:dyDescent="0.25">
      <c r="A584" s="141" t="s">
        <v>1773</v>
      </c>
      <c r="B584" s="80">
        <v>1104</v>
      </c>
      <c r="C584" s="80">
        <v>609</v>
      </c>
      <c r="D584" s="80">
        <v>50893</v>
      </c>
      <c r="E584" s="167">
        <v>9072</v>
      </c>
      <c r="F584" s="73">
        <v>9.8000000000000007</v>
      </c>
      <c r="G584">
        <v>205</v>
      </c>
      <c r="H584" s="72">
        <f t="shared" si="9"/>
        <v>0.3366174055829228</v>
      </c>
    </row>
    <row r="585" spans="1:8" x14ac:dyDescent="0.25">
      <c r="A585" s="141" t="s">
        <v>1960</v>
      </c>
      <c r="B585" s="80">
        <v>67</v>
      </c>
      <c r="C585" s="80">
        <v>49</v>
      </c>
      <c r="D585" s="80">
        <v>73333</v>
      </c>
      <c r="E585" s="167">
        <v>27535</v>
      </c>
      <c r="F585" s="73">
        <v>0</v>
      </c>
      <c r="G585">
        <v>14</v>
      </c>
      <c r="H585" s="72">
        <f t="shared" si="9"/>
        <v>0.2857142857142857</v>
      </c>
    </row>
    <row r="586" spans="1:8" x14ac:dyDescent="0.25">
      <c r="A586" s="141" t="s">
        <v>30</v>
      </c>
      <c r="B586" s="80">
        <v>476</v>
      </c>
      <c r="C586" s="80">
        <v>191</v>
      </c>
      <c r="D586" s="80">
        <v>30625</v>
      </c>
      <c r="E586" s="167">
        <v>6566</v>
      </c>
      <c r="F586" s="73">
        <v>16.399999999999999</v>
      </c>
      <c r="G586">
        <v>311</v>
      </c>
      <c r="H586" s="72">
        <f t="shared" si="9"/>
        <v>1.6282722513089005</v>
      </c>
    </row>
    <row r="587" spans="1:8" x14ac:dyDescent="0.25">
      <c r="A587" s="141" t="s">
        <v>2344</v>
      </c>
      <c r="B587" s="80">
        <v>114</v>
      </c>
      <c r="C587" s="80">
        <v>76</v>
      </c>
      <c r="D587" s="80">
        <v>53750</v>
      </c>
      <c r="E587" s="167">
        <v>14534</v>
      </c>
      <c r="F587" s="73">
        <v>2.4</v>
      </c>
      <c r="G587">
        <v>19</v>
      </c>
      <c r="H587" s="72">
        <f t="shared" si="9"/>
        <v>0.25</v>
      </c>
    </row>
    <row r="588" spans="1:8" x14ac:dyDescent="0.25">
      <c r="A588" s="141" t="s">
        <v>1149</v>
      </c>
      <c r="B588" s="80">
        <v>306</v>
      </c>
      <c r="C588" s="80">
        <v>140</v>
      </c>
      <c r="D588" s="80">
        <v>57083</v>
      </c>
      <c r="E588" s="167">
        <v>18713</v>
      </c>
      <c r="F588" s="73">
        <v>0.5</v>
      </c>
      <c r="G588">
        <v>30</v>
      </c>
      <c r="H588" s="72">
        <f t="shared" si="9"/>
        <v>0.21428571428571427</v>
      </c>
    </row>
    <row r="589" spans="1:8" x14ac:dyDescent="0.25">
      <c r="A589" s="141" t="s">
        <v>29</v>
      </c>
      <c r="B589" s="80">
        <v>249</v>
      </c>
      <c r="C589" s="80">
        <v>110</v>
      </c>
      <c r="D589" s="80">
        <v>29583</v>
      </c>
      <c r="E589" s="167">
        <v>14001</v>
      </c>
      <c r="F589" s="73">
        <v>11.5</v>
      </c>
      <c r="G589">
        <v>102</v>
      </c>
      <c r="H589" s="72">
        <f t="shared" si="9"/>
        <v>0.92727272727272725</v>
      </c>
    </row>
    <row r="590" spans="1:8" x14ac:dyDescent="0.25">
      <c r="A590" s="141" t="s">
        <v>1743</v>
      </c>
      <c r="B590" s="80">
        <v>493</v>
      </c>
      <c r="C590" s="80">
        <v>235</v>
      </c>
      <c r="D590" s="80">
        <v>42639</v>
      </c>
      <c r="E590" s="167">
        <v>5117</v>
      </c>
      <c r="F590" s="73">
        <v>2.2000000000000002</v>
      </c>
      <c r="G590">
        <v>199</v>
      </c>
      <c r="H590" s="72">
        <f t="shared" si="9"/>
        <v>0.84680851063829787</v>
      </c>
    </row>
    <row r="591" spans="1:8" x14ac:dyDescent="0.25">
      <c r="A591" s="141" t="s">
        <v>1863</v>
      </c>
      <c r="B591" s="80">
        <v>485</v>
      </c>
      <c r="C591" s="80">
        <v>259</v>
      </c>
      <c r="D591" s="80">
        <v>34625</v>
      </c>
      <c r="E591" s="167">
        <v>21764</v>
      </c>
      <c r="F591" s="73">
        <v>3.2</v>
      </c>
      <c r="G591">
        <v>85</v>
      </c>
      <c r="H591" s="72">
        <f t="shared" si="9"/>
        <v>0.3281853281853282</v>
      </c>
    </row>
    <row r="592" spans="1:8" x14ac:dyDescent="0.25">
      <c r="A592" s="141" t="s">
        <v>1473</v>
      </c>
      <c r="B592" s="80">
        <v>22663</v>
      </c>
      <c r="C592" s="80">
        <v>9148</v>
      </c>
      <c r="D592" s="80">
        <v>75099</v>
      </c>
      <c r="E592" s="167">
        <v>7644</v>
      </c>
      <c r="F592" s="73">
        <v>3.7</v>
      </c>
      <c r="G592">
        <v>3983</v>
      </c>
      <c r="H592" s="72">
        <f t="shared" si="9"/>
        <v>0.43539571491036294</v>
      </c>
    </row>
    <row r="593" spans="1:8" x14ac:dyDescent="0.25">
      <c r="A593" s="141" t="s">
        <v>1770</v>
      </c>
      <c r="B593" s="80">
        <v>410</v>
      </c>
      <c r="C593" s="80">
        <v>166</v>
      </c>
      <c r="D593" s="80">
        <v>59028</v>
      </c>
      <c r="E593" s="167">
        <v>6320</v>
      </c>
      <c r="F593" s="73">
        <v>0.9</v>
      </c>
      <c r="G593">
        <v>36</v>
      </c>
      <c r="H593" s="72">
        <f t="shared" si="9"/>
        <v>0.21686746987951808</v>
      </c>
    </row>
    <row r="594" spans="1:8" x14ac:dyDescent="0.25">
      <c r="A594" s="141" t="s">
        <v>1881</v>
      </c>
      <c r="B594" s="80">
        <v>461</v>
      </c>
      <c r="C594" s="80">
        <v>182</v>
      </c>
      <c r="D594" s="80">
        <v>67083</v>
      </c>
      <c r="E594" s="167">
        <v>14017</v>
      </c>
      <c r="F594" s="73">
        <v>2</v>
      </c>
      <c r="G594">
        <v>38</v>
      </c>
      <c r="H594" s="72">
        <f t="shared" si="9"/>
        <v>0.2087912087912088</v>
      </c>
    </row>
    <row r="595" spans="1:8" x14ac:dyDescent="0.25">
      <c r="A595" s="141" t="s">
        <v>1961</v>
      </c>
      <c r="B595" s="80">
        <v>20913</v>
      </c>
      <c r="C595" s="80">
        <v>8677</v>
      </c>
      <c r="D595" s="80">
        <v>60762</v>
      </c>
      <c r="E595" s="167">
        <v>4144</v>
      </c>
      <c r="F595" s="73">
        <v>3.9</v>
      </c>
      <c r="G595">
        <v>4096</v>
      </c>
      <c r="H595" s="72">
        <f t="shared" si="9"/>
        <v>0.47205255272559643</v>
      </c>
    </row>
    <row r="596" spans="1:8" x14ac:dyDescent="0.25">
      <c r="A596" s="141" t="s">
        <v>1970</v>
      </c>
      <c r="B596" s="80">
        <v>1249</v>
      </c>
      <c r="C596" s="80">
        <v>556</v>
      </c>
      <c r="D596" s="80">
        <v>56006</v>
      </c>
      <c r="E596" s="167">
        <v>6072</v>
      </c>
      <c r="F596" s="73">
        <v>0.3</v>
      </c>
      <c r="G596">
        <v>222</v>
      </c>
      <c r="H596" s="72">
        <f t="shared" si="9"/>
        <v>0.39928057553956836</v>
      </c>
    </row>
    <row r="597" spans="1:8" x14ac:dyDescent="0.25">
      <c r="A597" s="141" t="s">
        <v>1747</v>
      </c>
      <c r="B597" s="80">
        <v>309</v>
      </c>
      <c r="C597" s="80">
        <v>118</v>
      </c>
      <c r="D597" s="80">
        <v>66000</v>
      </c>
      <c r="E597" s="167">
        <v>7616</v>
      </c>
      <c r="F597" s="73">
        <v>4.0999999999999996</v>
      </c>
      <c r="G597">
        <v>38</v>
      </c>
      <c r="H597" s="72">
        <f t="shared" si="9"/>
        <v>0.32203389830508472</v>
      </c>
    </row>
    <row r="598" spans="1:8" x14ac:dyDescent="0.25">
      <c r="A598" s="141" t="s">
        <v>1604</v>
      </c>
      <c r="B598" s="80">
        <v>3664</v>
      </c>
      <c r="C598" s="80">
        <v>1542</v>
      </c>
      <c r="D598" s="80">
        <v>58569</v>
      </c>
      <c r="E598" s="167">
        <v>7245</v>
      </c>
      <c r="F598" s="73">
        <v>4</v>
      </c>
      <c r="G598">
        <v>446</v>
      </c>
      <c r="H598" s="72">
        <f t="shared" si="9"/>
        <v>0.2892347600518807</v>
      </c>
    </row>
    <row r="599" spans="1:8" x14ac:dyDescent="0.25">
      <c r="A599" s="141" t="s">
        <v>1151</v>
      </c>
      <c r="B599" s="80">
        <v>8022</v>
      </c>
      <c r="C599" s="80">
        <v>3167</v>
      </c>
      <c r="D599" s="80">
        <v>81837</v>
      </c>
      <c r="E599" s="167">
        <v>11543</v>
      </c>
      <c r="F599" s="73">
        <v>2.8</v>
      </c>
      <c r="G599">
        <v>546</v>
      </c>
      <c r="H599" s="72">
        <f t="shared" si="9"/>
        <v>0.1724029049573729</v>
      </c>
    </row>
    <row r="600" spans="1:8" x14ac:dyDescent="0.25">
      <c r="A600" s="141" t="s">
        <v>1153</v>
      </c>
      <c r="B600" s="80">
        <v>1039</v>
      </c>
      <c r="C600" s="80">
        <v>488</v>
      </c>
      <c r="D600" s="80">
        <v>41989</v>
      </c>
      <c r="E600" s="167">
        <v>11632</v>
      </c>
      <c r="F600" s="73">
        <v>4.4000000000000004</v>
      </c>
      <c r="G600">
        <v>220</v>
      </c>
      <c r="H600" s="72">
        <f t="shared" si="9"/>
        <v>0.45081967213114754</v>
      </c>
    </row>
    <row r="601" spans="1:8" x14ac:dyDescent="0.25">
      <c r="A601" s="141" t="s">
        <v>1725</v>
      </c>
      <c r="B601" s="80">
        <v>84</v>
      </c>
      <c r="C601" s="80">
        <v>28</v>
      </c>
      <c r="D601" s="80">
        <v>87500</v>
      </c>
      <c r="E601" s="167">
        <v>18025</v>
      </c>
      <c r="F601" s="73">
        <v>1.8</v>
      </c>
      <c r="G601">
        <v>6</v>
      </c>
      <c r="H601" s="72">
        <f t="shared" si="9"/>
        <v>0.21428571428571427</v>
      </c>
    </row>
    <row r="602" spans="1:8" x14ac:dyDescent="0.25">
      <c r="A602" s="141" t="s">
        <v>1155</v>
      </c>
      <c r="B602" s="80">
        <v>13209</v>
      </c>
      <c r="C602" s="80">
        <v>6084</v>
      </c>
      <c r="D602" s="80">
        <v>58839</v>
      </c>
      <c r="E602" s="167">
        <v>4535</v>
      </c>
      <c r="F602" s="73">
        <v>2.6</v>
      </c>
      <c r="G602">
        <v>1959</v>
      </c>
      <c r="H602" s="72">
        <f t="shared" si="9"/>
        <v>0.32199211045364889</v>
      </c>
    </row>
    <row r="603" spans="1:8" x14ac:dyDescent="0.25">
      <c r="A603" s="141" t="s">
        <v>1496</v>
      </c>
      <c r="B603" s="80">
        <v>1249</v>
      </c>
      <c r="C603" s="80">
        <v>619</v>
      </c>
      <c r="D603" s="80">
        <v>45000</v>
      </c>
      <c r="E603" s="167">
        <v>11468</v>
      </c>
      <c r="F603" s="73">
        <v>3.6</v>
      </c>
      <c r="G603">
        <v>351</v>
      </c>
      <c r="H603" s="72">
        <f t="shared" si="9"/>
        <v>0.56704361873990305</v>
      </c>
    </row>
    <row r="604" spans="1:8" x14ac:dyDescent="0.25">
      <c r="A604" s="141" t="s">
        <v>1911</v>
      </c>
      <c r="B604" s="80">
        <v>1037</v>
      </c>
      <c r="C604" s="80">
        <v>395</v>
      </c>
      <c r="D604" s="80">
        <v>72188</v>
      </c>
      <c r="E604" s="167">
        <v>13368</v>
      </c>
      <c r="F604" s="73">
        <v>1.9</v>
      </c>
      <c r="G604">
        <v>226</v>
      </c>
      <c r="H604" s="72">
        <f t="shared" si="9"/>
        <v>0.57215189873417727</v>
      </c>
    </row>
    <row r="605" spans="1:8" x14ac:dyDescent="0.25">
      <c r="A605" s="141" t="s">
        <v>1714</v>
      </c>
      <c r="B605" s="80">
        <v>93</v>
      </c>
      <c r="C605" s="80">
        <v>51</v>
      </c>
      <c r="D605" s="80"/>
      <c r="E605" s="167" t="s">
        <v>0</v>
      </c>
      <c r="F605" s="73">
        <v>28.6</v>
      </c>
      <c r="G605">
        <v>48</v>
      </c>
      <c r="H605" s="72">
        <f t="shared" si="9"/>
        <v>0.94117647058823528</v>
      </c>
    </row>
    <row r="606" spans="1:8" x14ac:dyDescent="0.25">
      <c r="A606" s="141" t="s">
        <v>2399</v>
      </c>
      <c r="B606" s="80">
        <v>125</v>
      </c>
      <c r="C606" s="80">
        <v>92</v>
      </c>
      <c r="D606" s="80">
        <v>70893</v>
      </c>
      <c r="E606" s="167">
        <v>61463</v>
      </c>
      <c r="F606" s="73">
        <v>1.3</v>
      </c>
      <c r="G606">
        <v>36</v>
      </c>
      <c r="H606" s="72">
        <f t="shared" si="9"/>
        <v>0.39130434782608697</v>
      </c>
    </row>
    <row r="607" spans="1:8" x14ac:dyDescent="0.25">
      <c r="A607" s="141" t="s">
        <v>2346</v>
      </c>
      <c r="B607" s="80">
        <v>1742</v>
      </c>
      <c r="C607" s="80">
        <v>1429</v>
      </c>
      <c r="D607" s="80">
        <v>68393</v>
      </c>
      <c r="E607" s="167">
        <v>12821</v>
      </c>
      <c r="F607" s="73">
        <v>1.7</v>
      </c>
      <c r="G607">
        <v>174</v>
      </c>
      <c r="H607" s="72">
        <f t="shared" si="9"/>
        <v>0.12176347095871239</v>
      </c>
    </row>
    <row r="608" spans="1:8" x14ac:dyDescent="0.25">
      <c r="A608" s="141" t="s">
        <v>1886</v>
      </c>
      <c r="B608" s="80">
        <v>63</v>
      </c>
      <c r="C608" s="80">
        <v>37</v>
      </c>
      <c r="D608" s="80">
        <v>80956</v>
      </c>
      <c r="E608" s="167">
        <v>27482</v>
      </c>
      <c r="F608" s="73">
        <v>4.7</v>
      </c>
      <c r="G608">
        <v>4</v>
      </c>
      <c r="H608" s="72">
        <f t="shared" si="9"/>
        <v>0.10810810810810811</v>
      </c>
    </row>
    <row r="609" spans="1:8" x14ac:dyDescent="0.25">
      <c r="A609" s="141" t="s">
        <v>1449</v>
      </c>
      <c r="B609" s="80">
        <v>10585</v>
      </c>
      <c r="C609" s="80">
        <v>4064</v>
      </c>
      <c r="D609" s="80">
        <v>85213</v>
      </c>
      <c r="E609" s="167">
        <v>6487</v>
      </c>
      <c r="F609" s="73">
        <v>3.3</v>
      </c>
      <c r="G609">
        <v>1399</v>
      </c>
      <c r="H609" s="72">
        <f t="shared" si="9"/>
        <v>0.34424212598425197</v>
      </c>
    </row>
    <row r="610" spans="1:8" x14ac:dyDescent="0.25">
      <c r="A610" s="141" t="s">
        <v>1540</v>
      </c>
      <c r="B610" s="80">
        <v>20399</v>
      </c>
      <c r="C610" s="80">
        <v>6650</v>
      </c>
      <c r="D610" s="80">
        <v>69407</v>
      </c>
      <c r="E610" s="167">
        <v>4667</v>
      </c>
      <c r="F610" s="73">
        <v>5.4</v>
      </c>
      <c r="G610">
        <v>2122</v>
      </c>
      <c r="H610" s="72">
        <f t="shared" si="9"/>
        <v>0.31909774436090227</v>
      </c>
    </row>
    <row r="611" spans="1:8" x14ac:dyDescent="0.25">
      <c r="A611" s="141" t="s">
        <v>1507</v>
      </c>
      <c r="B611" s="80">
        <v>13903</v>
      </c>
      <c r="C611" s="80">
        <v>6064</v>
      </c>
      <c r="D611" s="80">
        <v>71023</v>
      </c>
      <c r="E611" s="167">
        <v>4690</v>
      </c>
      <c r="F611" s="73">
        <v>2.8</v>
      </c>
      <c r="G611">
        <v>1914</v>
      </c>
      <c r="H611" s="72">
        <f t="shared" si="9"/>
        <v>0.31563324538258575</v>
      </c>
    </row>
    <row r="612" spans="1:8" x14ac:dyDescent="0.25">
      <c r="A612" s="141" t="s">
        <v>2347</v>
      </c>
      <c r="B612" s="80">
        <v>5244</v>
      </c>
      <c r="C612" s="80">
        <v>1876</v>
      </c>
      <c r="D612" s="80">
        <v>210370</v>
      </c>
      <c r="E612" s="167">
        <v>33217</v>
      </c>
      <c r="F612" s="73">
        <v>0.6</v>
      </c>
      <c r="G612">
        <v>199</v>
      </c>
      <c r="H612" s="72">
        <f t="shared" si="9"/>
        <v>0.10607675906183368</v>
      </c>
    </row>
    <row r="613" spans="1:8" x14ac:dyDescent="0.25">
      <c r="A613" s="141" t="s">
        <v>1764</v>
      </c>
      <c r="B613" s="80">
        <v>218</v>
      </c>
      <c r="C613" s="80">
        <v>140</v>
      </c>
      <c r="D613" s="80">
        <v>52188</v>
      </c>
      <c r="E613" s="167">
        <v>20859</v>
      </c>
      <c r="F613" s="73">
        <v>1.1000000000000001</v>
      </c>
      <c r="G613">
        <v>53</v>
      </c>
      <c r="H613" s="72">
        <f t="shared" si="9"/>
        <v>0.37857142857142856</v>
      </c>
    </row>
    <row r="614" spans="1:8" x14ac:dyDescent="0.25">
      <c r="A614" s="141" t="s">
        <v>1505</v>
      </c>
      <c r="B614" s="80">
        <v>193</v>
      </c>
      <c r="C614" s="80">
        <v>107</v>
      </c>
      <c r="D614" s="80">
        <v>47917</v>
      </c>
      <c r="E614" s="167">
        <v>12711</v>
      </c>
      <c r="F614" s="73">
        <v>0</v>
      </c>
      <c r="G614">
        <v>16</v>
      </c>
      <c r="H614" s="72">
        <f t="shared" si="9"/>
        <v>0.14953271028037382</v>
      </c>
    </row>
    <row r="615" spans="1:8" x14ac:dyDescent="0.25">
      <c r="A615" s="141" t="s">
        <v>2405</v>
      </c>
      <c r="B615" s="80">
        <v>12421</v>
      </c>
      <c r="C615" s="80">
        <v>4619</v>
      </c>
      <c r="D615" s="80">
        <v>67595</v>
      </c>
      <c r="E615" s="167">
        <v>5132</v>
      </c>
      <c r="F615" s="73">
        <v>4.3</v>
      </c>
      <c r="G615">
        <v>2697</v>
      </c>
      <c r="H615" s="72">
        <f t="shared" si="9"/>
        <v>0.58389261744966447</v>
      </c>
    </row>
    <row r="616" spans="1:8" x14ac:dyDescent="0.25">
      <c r="A616" s="141" t="s">
        <v>1157</v>
      </c>
      <c r="B616" s="80">
        <v>3746</v>
      </c>
      <c r="C616" s="80">
        <v>1391</v>
      </c>
      <c r="D616" s="80">
        <v>69023</v>
      </c>
      <c r="E616" s="167">
        <v>5004</v>
      </c>
      <c r="F616" s="73">
        <v>4.8</v>
      </c>
      <c r="G616">
        <v>412</v>
      </c>
      <c r="H616" s="72">
        <f t="shared" si="9"/>
        <v>0.29618979151689434</v>
      </c>
    </row>
    <row r="617" spans="1:8" x14ac:dyDescent="0.25">
      <c r="A617" s="141" t="s">
        <v>2348</v>
      </c>
      <c r="B617" s="80">
        <v>4715</v>
      </c>
      <c r="C617" s="80">
        <v>1450</v>
      </c>
      <c r="D617" s="80">
        <v>124492</v>
      </c>
      <c r="E617" s="167">
        <v>31665</v>
      </c>
      <c r="F617" s="73">
        <v>1</v>
      </c>
      <c r="G617">
        <v>317</v>
      </c>
      <c r="H617" s="72">
        <f t="shared" si="9"/>
        <v>0.21862068965517242</v>
      </c>
    </row>
    <row r="618" spans="1:8" x14ac:dyDescent="0.25">
      <c r="A618" s="141" t="s">
        <v>1524</v>
      </c>
      <c r="B618" s="80">
        <v>27925</v>
      </c>
      <c r="C618" s="80">
        <v>11530</v>
      </c>
      <c r="D618" s="80">
        <v>74303</v>
      </c>
      <c r="E618" s="167">
        <v>5026</v>
      </c>
      <c r="F618" s="73">
        <v>4.9000000000000004</v>
      </c>
      <c r="G618">
        <v>3886</v>
      </c>
      <c r="H618" s="72">
        <f t="shared" si="9"/>
        <v>0.33703382480485689</v>
      </c>
    </row>
    <row r="619" spans="1:8" x14ac:dyDescent="0.25">
      <c r="A619" s="141" t="s">
        <v>1894</v>
      </c>
      <c r="B619" s="80">
        <v>8819</v>
      </c>
      <c r="C619" s="80">
        <v>3078</v>
      </c>
      <c r="D619" s="80">
        <v>107112</v>
      </c>
      <c r="E619" s="167">
        <v>8641</v>
      </c>
      <c r="F619" s="73">
        <v>2.2000000000000002</v>
      </c>
      <c r="G619">
        <v>342</v>
      </c>
      <c r="H619" s="72">
        <f t="shared" si="9"/>
        <v>0.1111111111111111</v>
      </c>
    </row>
    <row r="620" spans="1:8" x14ac:dyDescent="0.25">
      <c r="A620" s="141" t="s">
        <v>1605</v>
      </c>
      <c r="B620" s="80">
        <v>4914</v>
      </c>
      <c r="C620" s="80">
        <v>2373</v>
      </c>
      <c r="D620" s="80">
        <v>71140</v>
      </c>
      <c r="E620" s="167">
        <v>12985</v>
      </c>
      <c r="F620" s="73">
        <v>0.6</v>
      </c>
      <c r="G620">
        <v>336</v>
      </c>
      <c r="H620" s="72">
        <f t="shared" si="9"/>
        <v>0.1415929203539823</v>
      </c>
    </row>
    <row r="621" spans="1:8" x14ac:dyDescent="0.25">
      <c r="A621" s="141" t="s">
        <v>1541</v>
      </c>
      <c r="B621" s="80">
        <v>91</v>
      </c>
      <c r="C621" s="80">
        <v>77</v>
      </c>
      <c r="D621" s="80">
        <v>57917</v>
      </c>
      <c r="E621" s="167">
        <v>31211</v>
      </c>
      <c r="F621" s="73">
        <v>6.3</v>
      </c>
      <c r="G621">
        <v>9</v>
      </c>
      <c r="H621" s="72">
        <f t="shared" si="9"/>
        <v>0.11688311688311688</v>
      </c>
    </row>
    <row r="622" spans="1:8" x14ac:dyDescent="0.25">
      <c r="A622" s="141" t="s">
        <v>1986</v>
      </c>
      <c r="B622" s="80">
        <v>132</v>
      </c>
      <c r="C622" s="80">
        <v>71</v>
      </c>
      <c r="D622" s="80">
        <v>43214</v>
      </c>
      <c r="E622" s="167">
        <v>10619</v>
      </c>
      <c r="F622" s="73">
        <v>1.5</v>
      </c>
      <c r="G622">
        <v>48</v>
      </c>
      <c r="H622" s="72">
        <f t="shared" si="9"/>
        <v>0.676056338028169</v>
      </c>
    </row>
    <row r="623" spans="1:8" x14ac:dyDescent="0.25">
      <c r="A623" s="141" t="s">
        <v>1943</v>
      </c>
      <c r="B623" s="80">
        <v>211</v>
      </c>
      <c r="C623" s="80">
        <v>83</v>
      </c>
      <c r="D623" s="80">
        <v>43500</v>
      </c>
      <c r="E623" s="167">
        <v>3909</v>
      </c>
      <c r="F623" s="73">
        <v>13.3</v>
      </c>
      <c r="G623">
        <v>73</v>
      </c>
      <c r="H623" s="72">
        <f t="shared" si="9"/>
        <v>0.87951807228915657</v>
      </c>
    </row>
    <row r="624" spans="1:8" x14ac:dyDescent="0.25">
      <c r="A624" s="141" t="s">
        <v>1159</v>
      </c>
      <c r="B624" s="80">
        <v>463</v>
      </c>
      <c r="C624" s="80">
        <v>185</v>
      </c>
      <c r="D624" s="80">
        <v>43750</v>
      </c>
      <c r="E624" s="167">
        <v>12803</v>
      </c>
      <c r="F624" s="73">
        <v>1.3</v>
      </c>
      <c r="G624">
        <v>210</v>
      </c>
      <c r="H624" s="72">
        <f t="shared" si="9"/>
        <v>1.1351351351351351</v>
      </c>
    </row>
    <row r="625" spans="1:8" x14ac:dyDescent="0.25">
      <c r="A625" s="141" t="s">
        <v>1885</v>
      </c>
      <c r="B625" s="80">
        <v>208</v>
      </c>
      <c r="C625" s="80">
        <v>99</v>
      </c>
      <c r="D625" s="80">
        <v>73281</v>
      </c>
      <c r="E625" s="167">
        <v>28436</v>
      </c>
      <c r="F625" s="73">
        <v>2.2999999999999998</v>
      </c>
      <c r="G625">
        <v>29</v>
      </c>
      <c r="H625" s="72">
        <f t="shared" si="9"/>
        <v>0.29292929292929293</v>
      </c>
    </row>
    <row r="626" spans="1:8" x14ac:dyDescent="0.25">
      <c r="A626" s="141" t="s">
        <v>1610</v>
      </c>
      <c r="B626" s="80">
        <v>479</v>
      </c>
      <c r="C626" s="80">
        <v>224</v>
      </c>
      <c r="D626" s="80">
        <v>43333</v>
      </c>
      <c r="E626" s="167">
        <v>12921</v>
      </c>
      <c r="F626" s="73">
        <v>1.5</v>
      </c>
      <c r="G626">
        <v>140</v>
      </c>
      <c r="H626" s="72">
        <f t="shared" si="9"/>
        <v>0.625</v>
      </c>
    </row>
    <row r="627" spans="1:8" x14ac:dyDescent="0.25">
      <c r="A627" s="141" t="s">
        <v>1161</v>
      </c>
      <c r="B627" s="80">
        <v>2397</v>
      </c>
      <c r="C627" s="80">
        <v>1257</v>
      </c>
      <c r="D627" s="80">
        <v>51750</v>
      </c>
      <c r="E627" s="167">
        <v>12904</v>
      </c>
      <c r="F627" s="73">
        <v>5.4</v>
      </c>
      <c r="G627">
        <v>504</v>
      </c>
      <c r="H627" s="72">
        <f t="shared" si="9"/>
        <v>0.40095465393794749</v>
      </c>
    </row>
    <row r="628" spans="1:8" x14ac:dyDescent="0.25">
      <c r="A628" s="141" t="s">
        <v>1583</v>
      </c>
      <c r="B628" s="80">
        <v>929</v>
      </c>
      <c r="C628" s="80">
        <v>449</v>
      </c>
      <c r="D628" s="80">
        <v>30592</v>
      </c>
      <c r="E628" s="167">
        <v>10446</v>
      </c>
      <c r="F628" s="73">
        <v>2.2999999999999998</v>
      </c>
      <c r="G628">
        <v>287</v>
      </c>
      <c r="H628" s="72">
        <f t="shared" si="9"/>
        <v>0.63919821826280621</v>
      </c>
    </row>
    <row r="629" spans="1:8" x14ac:dyDescent="0.25">
      <c r="A629" s="141" t="s">
        <v>2014</v>
      </c>
      <c r="B629" s="80">
        <v>106</v>
      </c>
      <c r="C629" s="80">
        <v>71</v>
      </c>
      <c r="D629" s="80"/>
      <c r="E629" s="167" t="s">
        <v>0</v>
      </c>
      <c r="F629" s="73">
        <v>4.2</v>
      </c>
      <c r="G629">
        <v>33</v>
      </c>
      <c r="H629" s="72">
        <f t="shared" si="9"/>
        <v>0.46478873239436619</v>
      </c>
    </row>
    <row r="630" spans="1:8" x14ac:dyDescent="0.25">
      <c r="A630" s="141" t="s">
        <v>1462</v>
      </c>
      <c r="B630" s="80">
        <v>8217</v>
      </c>
      <c r="C630" s="80">
        <v>3389</v>
      </c>
      <c r="D630" s="80">
        <v>169557</v>
      </c>
      <c r="E630" s="167">
        <v>33671</v>
      </c>
      <c r="F630" s="73">
        <v>1.9</v>
      </c>
      <c r="G630">
        <v>430</v>
      </c>
      <c r="H630" s="72">
        <f t="shared" si="9"/>
        <v>0.12688108586603719</v>
      </c>
    </row>
    <row r="631" spans="1:8" x14ac:dyDescent="0.25">
      <c r="A631" s="141" t="s">
        <v>1859</v>
      </c>
      <c r="B631" s="80">
        <v>1517</v>
      </c>
      <c r="C631" s="80">
        <v>517</v>
      </c>
      <c r="D631" s="80">
        <v>120625</v>
      </c>
      <c r="E631" s="167">
        <v>10248</v>
      </c>
      <c r="F631" s="73">
        <v>0.4</v>
      </c>
      <c r="G631">
        <v>40</v>
      </c>
      <c r="H631" s="72">
        <f t="shared" si="9"/>
        <v>7.7369439071566737E-2</v>
      </c>
    </row>
    <row r="632" spans="1:8" x14ac:dyDescent="0.25">
      <c r="A632" s="141" t="s">
        <v>1619</v>
      </c>
      <c r="B632" s="80">
        <v>227</v>
      </c>
      <c r="C632" s="80">
        <v>146</v>
      </c>
      <c r="D632" s="80">
        <v>49688</v>
      </c>
      <c r="E632" s="167">
        <v>11960</v>
      </c>
      <c r="F632" s="73">
        <v>0</v>
      </c>
      <c r="G632">
        <v>67</v>
      </c>
      <c r="H632" s="72">
        <f t="shared" si="9"/>
        <v>0.4589041095890411</v>
      </c>
    </row>
    <row r="633" spans="1:8" x14ac:dyDescent="0.25">
      <c r="A633" s="141" t="s">
        <v>1594</v>
      </c>
      <c r="B633" s="80">
        <v>2017</v>
      </c>
      <c r="C633" s="80">
        <v>1184</v>
      </c>
      <c r="D633" s="80">
        <v>46250</v>
      </c>
      <c r="E633" s="167">
        <v>11557</v>
      </c>
      <c r="F633" s="73">
        <v>4.3</v>
      </c>
      <c r="G633">
        <v>544</v>
      </c>
      <c r="H633" s="72">
        <f t="shared" si="9"/>
        <v>0.45945945945945948</v>
      </c>
    </row>
    <row r="634" spans="1:8" x14ac:dyDescent="0.25">
      <c r="A634" s="141" t="s">
        <v>28</v>
      </c>
      <c r="B634" s="80">
        <v>258</v>
      </c>
      <c r="C634" s="80">
        <v>181</v>
      </c>
      <c r="D634" s="80">
        <v>52115</v>
      </c>
      <c r="E634" s="167">
        <v>9558</v>
      </c>
      <c r="F634" s="73">
        <v>6.5</v>
      </c>
      <c r="G634">
        <v>81</v>
      </c>
      <c r="H634" s="72">
        <f t="shared" si="9"/>
        <v>0.44751381215469616</v>
      </c>
    </row>
    <row r="635" spans="1:8" x14ac:dyDescent="0.25">
      <c r="A635" s="141" t="s">
        <v>1865</v>
      </c>
      <c r="B635" s="80">
        <v>1744</v>
      </c>
      <c r="C635" s="80">
        <v>1075</v>
      </c>
      <c r="D635" s="80">
        <v>44291</v>
      </c>
      <c r="E635" s="167">
        <v>8292</v>
      </c>
      <c r="F635" s="73">
        <v>4.9000000000000004</v>
      </c>
      <c r="G635">
        <v>384</v>
      </c>
      <c r="H635" s="72">
        <f t="shared" si="9"/>
        <v>0.3572093023255814</v>
      </c>
    </row>
    <row r="636" spans="1:8" x14ac:dyDescent="0.25">
      <c r="A636" s="141" t="s">
        <v>1977</v>
      </c>
      <c r="B636" s="80">
        <v>304</v>
      </c>
      <c r="C636" s="80">
        <v>132</v>
      </c>
      <c r="D636" s="80">
        <v>61250</v>
      </c>
      <c r="E636" s="167">
        <v>10479</v>
      </c>
      <c r="F636" s="73">
        <v>3</v>
      </c>
      <c r="G636">
        <v>27</v>
      </c>
      <c r="H636" s="72">
        <f t="shared" si="9"/>
        <v>0.20454545454545456</v>
      </c>
    </row>
    <row r="637" spans="1:8" x14ac:dyDescent="0.25">
      <c r="A637" s="141" t="s">
        <v>2029</v>
      </c>
      <c r="B637" s="80">
        <v>2738</v>
      </c>
      <c r="C637" s="80">
        <v>1358</v>
      </c>
      <c r="D637" s="80">
        <v>54636</v>
      </c>
      <c r="E637" s="167">
        <v>5570</v>
      </c>
      <c r="F637" s="73">
        <v>6.6</v>
      </c>
      <c r="G637">
        <v>304</v>
      </c>
      <c r="H637" s="72">
        <f t="shared" si="9"/>
        <v>0.22385861561119294</v>
      </c>
    </row>
    <row r="638" spans="1:8" x14ac:dyDescent="0.25">
      <c r="A638" s="141" t="s">
        <v>1733</v>
      </c>
      <c r="B638" s="80">
        <v>288</v>
      </c>
      <c r="C638" s="80">
        <v>113</v>
      </c>
      <c r="D638" s="80">
        <v>53438</v>
      </c>
      <c r="E638" s="167">
        <v>27224</v>
      </c>
      <c r="F638" s="73">
        <v>3.9</v>
      </c>
      <c r="G638">
        <v>77</v>
      </c>
      <c r="H638" s="72">
        <f t="shared" si="9"/>
        <v>0.68141592920353977</v>
      </c>
    </row>
    <row r="639" spans="1:8" x14ac:dyDescent="0.25">
      <c r="A639" s="141" t="s">
        <v>1163</v>
      </c>
      <c r="B639" s="80">
        <v>17429</v>
      </c>
      <c r="C639" s="80">
        <v>5784</v>
      </c>
      <c r="D639" s="80">
        <v>110833</v>
      </c>
      <c r="E639" s="167">
        <v>8826</v>
      </c>
      <c r="F639" s="73">
        <v>2.1</v>
      </c>
      <c r="G639">
        <v>397</v>
      </c>
      <c r="H639" s="72">
        <f t="shared" si="9"/>
        <v>6.8637621023513146E-2</v>
      </c>
    </row>
    <row r="640" spans="1:8" x14ac:dyDescent="0.25">
      <c r="A640" s="141" t="s">
        <v>2003</v>
      </c>
      <c r="B640" s="80">
        <v>531</v>
      </c>
      <c r="C640" s="80">
        <v>360</v>
      </c>
      <c r="D640" s="80">
        <v>79583</v>
      </c>
      <c r="E640" s="167">
        <v>20351</v>
      </c>
      <c r="F640" s="73">
        <v>2</v>
      </c>
      <c r="G640">
        <v>152</v>
      </c>
      <c r="H640" s="72">
        <f t="shared" si="9"/>
        <v>0.42222222222222222</v>
      </c>
    </row>
    <row r="641" spans="1:8" x14ac:dyDescent="0.25">
      <c r="A641" s="141" t="s">
        <v>1165</v>
      </c>
      <c r="B641" s="80">
        <v>25716</v>
      </c>
      <c r="C641" s="80">
        <v>11083</v>
      </c>
      <c r="D641" s="80">
        <v>66037</v>
      </c>
      <c r="E641" s="167">
        <v>4903</v>
      </c>
      <c r="F641" s="73">
        <v>3.7</v>
      </c>
      <c r="G641">
        <v>4687</v>
      </c>
      <c r="H641" s="72">
        <f t="shared" si="9"/>
        <v>0.42289993684020571</v>
      </c>
    </row>
    <row r="642" spans="1:8" x14ac:dyDescent="0.25">
      <c r="A642" s="141" t="s">
        <v>1673</v>
      </c>
      <c r="B642" s="80">
        <v>218</v>
      </c>
      <c r="C642" s="80">
        <v>116</v>
      </c>
      <c r="D642" s="80">
        <v>37222</v>
      </c>
      <c r="E642" s="167">
        <v>25480</v>
      </c>
      <c r="F642" s="73">
        <v>8</v>
      </c>
      <c r="G642">
        <v>98</v>
      </c>
      <c r="H642" s="72">
        <f t="shared" ref="H642:H705" si="10">G642/C642</f>
        <v>0.84482758620689657</v>
      </c>
    </row>
    <row r="643" spans="1:8" x14ac:dyDescent="0.25">
      <c r="A643" s="141" t="s">
        <v>1497</v>
      </c>
      <c r="B643" s="80">
        <v>1119</v>
      </c>
      <c r="C643" s="80">
        <v>464</v>
      </c>
      <c r="D643" s="80">
        <v>53036</v>
      </c>
      <c r="E643" s="167">
        <v>9927</v>
      </c>
      <c r="F643" s="73">
        <v>3.7</v>
      </c>
      <c r="G643">
        <v>189</v>
      </c>
      <c r="H643" s="72">
        <f t="shared" si="10"/>
        <v>0.40732758620689657</v>
      </c>
    </row>
    <row r="644" spans="1:8" x14ac:dyDescent="0.25">
      <c r="A644" s="141" t="s">
        <v>1897</v>
      </c>
      <c r="B644" s="80">
        <v>4151</v>
      </c>
      <c r="C644" s="80">
        <v>2085</v>
      </c>
      <c r="D644" s="80">
        <v>37955</v>
      </c>
      <c r="E644" s="167">
        <v>3803</v>
      </c>
      <c r="F644" s="73">
        <v>4.0999999999999996</v>
      </c>
      <c r="G644">
        <v>1364</v>
      </c>
      <c r="H644" s="72">
        <f t="shared" si="10"/>
        <v>0.65419664268585132</v>
      </c>
    </row>
    <row r="645" spans="1:8" x14ac:dyDescent="0.25">
      <c r="A645" s="141" t="s">
        <v>1819</v>
      </c>
      <c r="B645" s="80">
        <v>2525</v>
      </c>
      <c r="C645" s="80">
        <v>1138</v>
      </c>
      <c r="D645" s="80">
        <v>55536</v>
      </c>
      <c r="E645" s="167">
        <v>7560</v>
      </c>
      <c r="F645" s="73">
        <v>4.7</v>
      </c>
      <c r="G645">
        <v>521</v>
      </c>
      <c r="H645" s="72">
        <f t="shared" si="10"/>
        <v>0.45782073813708263</v>
      </c>
    </row>
    <row r="646" spans="1:8" x14ac:dyDescent="0.25">
      <c r="A646" s="141" t="s">
        <v>1928</v>
      </c>
      <c r="B646" s="80">
        <v>199</v>
      </c>
      <c r="C646" s="80">
        <v>106</v>
      </c>
      <c r="D646" s="80">
        <v>54107</v>
      </c>
      <c r="E646" s="167">
        <v>8772</v>
      </c>
      <c r="F646" s="73">
        <v>2.6</v>
      </c>
      <c r="G646">
        <v>42</v>
      </c>
      <c r="H646" s="72">
        <f t="shared" si="10"/>
        <v>0.39622641509433965</v>
      </c>
    </row>
    <row r="647" spans="1:8" x14ac:dyDescent="0.25">
      <c r="A647" s="141" t="s">
        <v>1169</v>
      </c>
      <c r="B647" s="80">
        <v>2512</v>
      </c>
      <c r="C647" s="80">
        <v>991</v>
      </c>
      <c r="D647" s="80">
        <v>49274</v>
      </c>
      <c r="E647" s="167">
        <v>10925</v>
      </c>
      <c r="F647" s="73">
        <v>3.1</v>
      </c>
      <c r="G647">
        <v>922</v>
      </c>
      <c r="H647" s="72">
        <f t="shared" si="10"/>
        <v>0.93037336024217965</v>
      </c>
    </row>
    <row r="648" spans="1:8" x14ac:dyDescent="0.25">
      <c r="A648" s="141" t="s">
        <v>1171</v>
      </c>
      <c r="B648" s="80">
        <v>255</v>
      </c>
      <c r="C648" s="80">
        <v>95</v>
      </c>
      <c r="D648" s="80">
        <v>56250</v>
      </c>
      <c r="E648" s="167">
        <v>10658</v>
      </c>
      <c r="F648" s="73">
        <v>4.0999999999999996</v>
      </c>
      <c r="G648">
        <v>64</v>
      </c>
      <c r="H648" s="72">
        <f t="shared" si="10"/>
        <v>0.67368421052631577</v>
      </c>
    </row>
    <row r="649" spans="1:8" x14ac:dyDescent="0.25">
      <c r="A649" s="141" t="s">
        <v>1849</v>
      </c>
      <c r="B649" s="80">
        <v>484</v>
      </c>
      <c r="C649" s="80">
        <v>191</v>
      </c>
      <c r="D649" s="80">
        <v>69231</v>
      </c>
      <c r="E649" s="167">
        <v>9640</v>
      </c>
      <c r="F649" s="73">
        <v>4.5999999999999996</v>
      </c>
      <c r="G649">
        <v>77</v>
      </c>
      <c r="H649" s="72">
        <f t="shared" si="10"/>
        <v>0.40314136125654448</v>
      </c>
    </row>
    <row r="650" spans="1:8" x14ac:dyDescent="0.25">
      <c r="A650" s="141" t="s">
        <v>1676</v>
      </c>
      <c r="B650" s="80">
        <v>2128</v>
      </c>
      <c r="C650" s="80">
        <v>1438</v>
      </c>
      <c r="D650" s="80">
        <v>54671</v>
      </c>
      <c r="E650" s="167">
        <v>8359</v>
      </c>
      <c r="F650" s="73">
        <v>7.2</v>
      </c>
      <c r="G650">
        <v>537</v>
      </c>
      <c r="H650" s="72">
        <f t="shared" si="10"/>
        <v>0.37343532684283726</v>
      </c>
    </row>
    <row r="651" spans="1:8" x14ac:dyDescent="0.25">
      <c r="A651" s="141" t="s">
        <v>1498</v>
      </c>
      <c r="B651" s="80">
        <v>3506</v>
      </c>
      <c r="C651" s="80">
        <v>1618</v>
      </c>
      <c r="D651" s="80">
        <v>44672</v>
      </c>
      <c r="E651" s="167">
        <v>5374</v>
      </c>
      <c r="F651" s="73">
        <v>8.5</v>
      </c>
      <c r="G651">
        <v>702</v>
      </c>
      <c r="H651" s="72">
        <f t="shared" si="10"/>
        <v>0.43386897404202718</v>
      </c>
    </row>
    <row r="652" spans="1:8" x14ac:dyDescent="0.25">
      <c r="A652" s="141" t="s">
        <v>1494</v>
      </c>
      <c r="B652" s="80">
        <v>76</v>
      </c>
      <c r="C652" s="80">
        <v>48</v>
      </c>
      <c r="D652" s="80">
        <v>61042</v>
      </c>
      <c r="E652" s="167">
        <v>16315</v>
      </c>
      <c r="F652" s="73">
        <v>17.3</v>
      </c>
      <c r="G652">
        <v>10</v>
      </c>
      <c r="H652" s="72">
        <f t="shared" si="10"/>
        <v>0.20833333333333334</v>
      </c>
    </row>
    <row r="653" spans="1:8" x14ac:dyDescent="0.25">
      <c r="A653" s="141" t="s">
        <v>1576</v>
      </c>
      <c r="B653" s="80">
        <v>260</v>
      </c>
      <c r="C653" s="80">
        <v>137</v>
      </c>
      <c r="D653" s="80">
        <v>63250</v>
      </c>
      <c r="E653" s="167">
        <v>22517</v>
      </c>
      <c r="F653" s="73">
        <v>2.7</v>
      </c>
      <c r="G653">
        <v>48</v>
      </c>
      <c r="H653" s="72">
        <f t="shared" si="10"/>
        <v>0.35036496350364965</v>
      </c>
    </row>
    <row r="654" spans="1:8" x14ac:dyDescent="0.25">
      <c r="A654" s="141" t="s">
        <v>27</v>
      </c>
      <c r="B654" s="80">
        <v>90</v>
      </c>
      <c r="C654" s="80">
        <v>54</v>
      </c>
      <c r="D654" s="80">
        <v>70833</v>
      </c>
      <c r="E654" s="167">
        <v>39118</v>
      </c>
      <c r="F654" s="73">
        <v>38</v>
      </c>
      <c r="G654">
        <v>0</v>
      </c>
      <c r="H654" s="72">
        <f t="shared" si="10"/>
        <v>0</v>
      </c>
    </row>
    <row r="655" spans="1:8" x14ac:dyDescent="0.25">
      <c r="A655" s="141" t="s">
        <v>2349</v>
      </c>
      <c r="B655" s="80">
        <v>1573</v>
      </c>
      <c r="C655" s="80">
        <v>599</v>
      </c>
      <c r="D655" s="80">
        <v>52688</v>
      </c>
      <c r="E655" s="167">
        <v>10219</v>
      </c>
      <c r="F655" s="73">
        <v>5.6</v>
      </c>
      <c r="G655">
        <v>343</v>
      </c>
      <c r="H655" s="72">
        <f t="shared" si="10"/>
        <v>0.57262103505843076</v>
      </c>
    </row>
    <row r="656" spans="1:8" x14ac:dyDescent="0.25">
      <c r="A656" s="141" t="s">
        <v>1760</v>
      </c>
      <c r="B656" s="80">
        <v>382</v>
      </c>
      <c r="C656" s="80">
        <v>181</v>
      </c>
      <c r="D656" s="80">
        <v>44375</v>
      </c>
      <c r="E656" s="167">
        <v>12590</v>
      </c>
      <c r="F656" s="73">
        <v>4.3</v>
      </c>
      <c r="G656">
        <v>108</v>
      </c>
      <c r="H656" s="72">
        <f t="shared" si="10"/>
        <v>0.59668508287292821</v>
      </c>
    </row>
    <row r="657" spans="1:8" x14ac:dyDescent="0.25">
      <c r="A657" s="141" t="s">
        <v>26</v>
      </c>
      <c r="B657" s="80">
        <v>51</v>
      </c>
      <c r="C657" s="80">
        <v>15</v>
      </c>
      <c r="D657" s="80">
        <v>33929</v>
      </c>
      <c r="E657" s="167">
        <v>2774</v>
      </c>
      <c r="F657" s="73">
        <v>22.2</v>
      </c>
      <c r="G657">
        <v>34</v>
      </c>
      <c r="H657" s="72">
        <f t="shared" si="10"/>
        <v>2.2666666666666666</v>
      </c>
    </row>
    <row r="658" spans="1:8" x14ac:dyDescent="0.25">
      <c r="A658" s="141" t="s">
        <v>1797</v>
      </c>
      <c r="B658" s="80">
        <v>3113</v>
      </c>
      <c r="C658" s="80">
        <v>1677</v>
      </c>
      <c r="D658" s="80">
        <v>40553</v>
      </c>
      <c r="E658" s="167">
        <v>7021</v>
      </c>
      <c r="F658" s="73">
        <v>7.3</v>
      </c>
      <c r="G658">
        <v>833</v>
      </c>
      <c r="H658" s="72">
        <f t="shared" si="10"/>
        <v>0.49672033392963627</v>
      </c>
    </row>
    <row r="659" spans="1:8" x14ac:dyDescent="0.25">
      <c r="A659" s="141" t="s">
        <v>1173</v>
      </c>
      <c r="B659" s="80">
        <v>3629</v>
      </c>
      <c r="C659" s="80">
        <v>1451</v>
      </c>
      <c r="D659" s="80">
        <v>72292</v>
      </c>
      <c r="E659" s="167">
        <v>6661</v>
      </c>
      <c r="F659" s="73">
        <v>3.8</v>
      </c>
      <c r="G659">
        <v>303</v>
      </c>
      <c r="H659" s="72">
        <f t="shared" si="10"/>
        <v>0.20882150241212957</v>
      </c>
    </row>
    <row r="660" spans="1:8" x14ac:dyDescent="0.25">
      <c r="A660" s="141" t="s">
        <v>25</v>
      </c>
      <c r="B660" s="80">
        <v>434</v>
      </c>
      <c r="C660" s="80">
        <v>169</v>
      </c>
      <c r="D660" s="80">
        <v>25259</v>
      </c>
      <c r="E660" s="167">
        <v>5991</v>
      </c>
      <c r="F660" s="73">
        <v>29.3</v>
      </c>
      <c r="G660">
        <v>346</v>
      </c>
      <c r="H660" s="72">
        <f t="shared" si="10"/>
        <v>2.0473372781065087</v>
      </c>
    </row>
    <row r="661" spans="1:8" x14ac:dyDescent="0.25">
      <c r="A661" s="141" t="s">
        <v>1722</v>
      </c>
      <c r="B661" s="80">
        <v>960</v>
      </c>
      <c r="C661" s="80">
        <v>563</v>
      </c>
      <c r="D661" s="80">
        <v>34965</v>
      </c>
      <c r="E661" s="167">
        <v>3044</v>
      </c>
      <c r="F661" s="73">
        <v>2.6</v>
      </c>
      <c r="G661">
        <v>292</v>
      </c>
      <c r="H661" s="72">
        <f t="shared" si="10"/>
        <v>0.51865008880994667</v>
      </c>
    </row>
    <row r="662" spans="1:8" x14ac:dyDescent="0.25">
      <c r="A662" s="141" t="s">
        <v>2350</v>
      </c>
      <c r="B662" s="80">
        <v>440</v>
      </c>
      <c r="C662" s="80">
        <v>159</v>
      </c>
      <c r="D662" s="80">
        <v>132778</v>
      </c>
      <c r="E662" s="167">
        <v>25073</v>
      </c>
      <c r="F662" s="73">
        <v>2.2000000000000002</v>
      </c>
      <c r="G662">
        <v>12</v>
      </c>
      <c r="H662" s="72">
        <f t="shared" si="10"/>
        <v>7.5471698113207544E-2</v>
      </c>
    </row>
    <row r="663" spans="1:8" x14ac:dyDescent="0.25">
      <c r="A663" s="141" t="s">
        <v>1175</v>
      </c>
      <c r="B663" s="80">
        <v>4046</v>
      </c>
      <c r="C663" s="80">
        <v>2210</v>
      </c>
      <c r="D663" s="80">
        <v>43962</v>
      </c>
      <c r="E663" s="167">
        <v>5675</v>
      </c>
      <c r="F663" s="73">
        <v>3.8</v>
      </c>
      <c r="G663">
        <v>1014</v>
      </c>
      <c r="H663" s="72">
        <f t="shared" si="10"/>
        <v>0.45882352941176469</v>
      </c>
    </row>
    <row r="664" spans="1:8" x14ac:dyDescent="0.25">
      <c r="A664" s="141" t="s">
        <v>1178</v>
      </c>
      <c r="B664" s="80">
        <v>3292</v>
      </c>
      <c r="C664" s="80">
        <v>1427</v>
      </c>
      <c r="D664" s="80">
        <v>58534</v>
      </c>
      <c r="E664" s="167">
        <v>13621</v>
      </c>
      <c r="F664" s="73">
        <v>3.7</v>
      </c>
      <c r="G664">
        <v>773</v>
      </c>
      <c r="H664" s="72">
        <f t="shared" si="10"/>
        <v>0.54169586545199722</v>
      </c>
    </row>
    <row r="665" spans="1:8" x14ac:dyDescent="0.25">
      <c r="A665" s="141" t="s">
        <v>1778</v>
      </c>
      <c r="B665" s="80">
        <v>226</v>
      </c>
      <c r="C665" s="80">
        <v>114</v>
      </c>
      <c r="D665" s="80">
        <v>53750</v>
      </c>
      <c r="E665" s="167">
        <v>11293</v>
      </c>
      <c r="F665" s="73">
        <v>0</v>
      </c>
      <c r="G665">
        <v>15</v>
      </c>
      <c r="H665" s="72">
        <f t="shared" si="10"/>
        <v>0.13157894736842105</v>
      </c>
    </row>
    <row r="666" spans="1:8" x14ac:dyDescent="0.25">
      <c r="A666" s="141" t="s">
        <v>1716</v>
      </c>
      <c r="B666" s="80">
        <v>282</v>
      </c>
      <c r="C666" s="80">
        <v>165</v>
      </c>
      <c r="D666" s="80">
        <v>67083</v>
      </c>
      <c r="E666" s="167">
        <v>24346</v>
      </c>
      <c r="F666" s="73">
        <v>1.1000000000000001</v>
      </c>
      <c r="G666">
        <v>45</v>
      </c>
      <c r="H666" s="72">
        <f t="shared" si="10"/>
        <v>0.27272727272727271</v>
      </c>
    </row>
    <row r="667" spans="1:8" x14ac:dyDescent="0.25">
      <c r="A667" s="141" t="s">
        <v>1463</v>
      </c>
      <c r="B667" s="80">
        <v>78879</v>
      </c>
      <c r="C667" s="80">
        <v>32897</v>
      </c>
      <c r="D667" s="80">
        <v>112631</v>
      </c>
      <c r="E667" s="167">
        <v>5825</v>
      </c>
      <c r="F667" s="73">
        <v>2.2999999999999998</v>
      </c>
      <c r="G667">
        <v>4862</v>
      </c>
      <c r="H667" s="72">
        <f t="shared" si="10"/>
        <v>0.14779463172933702</v>
      </c>
    </row>
    <row r="668" spans="1:8" x14ac:dyDescent="0.25">
      <c r="A668" s="141" t="s">
        <v>24</v>
      </c>
      <c r="B668" s="80">
        <v>688</v>
      </c>
      <c r="C668" s="80">
        <v>169</v>
      </c>
      <c r="D668" s="80">
        <v>31019</v>
      </c>
      <c r="E668" s="167">
        <v>6945</v>
      </c>
      <c r="F668" s="73">
        <v>26.9</v>
      </c>
      <c r="G668">
        <v>375</v>
      </c>
      <c r="H668" s="72">
        <f t="shared" si="10"/>
        <v>2.2189349112426036</v>
      </c>
    </row>
    <row r="669" spans="1:8" x14ac:dyDescent="0.25">
      <c r="A669" s="141" t="s">
        <v>1997</v>
      </c>
      <c r="B669" s="80">
        <v>160</v>
      </c>
      <c r="C669" s="80">
        <v>100</v>
      </c>
      <c r="D669" s="80">
        <v>41875</v>
      </c>
      <c r="E669" s="167">
        <v>13870</v>
      </c>
      <c r="F669" s="73">
        <v>2.2000000000000002</v>
      </c>
      <c r="G669">
        <v>21</v>
      </c>
      <c r="H669" s="72">
        <f t="shared" si="10"/>
        <v>0.21</v>
      </c>
    </row>
    <row r="670" spans="1:8" x14ac:dyDescent="0.25">
      <c r="A670" s="141" t="s">
        <v>1182</v>
      </c>
      <c r="B670" s="80">
        <v>1192</v>
      </c>
      <c r="C670" s="80">
        <v>717</v>
      </c>
      <c r="D670" s="80">
        <v>45556</v>
      </c>
      <c r="E670" s="167">
        <v>8122</v>
      </c>
      <c r="F670" s="73">
        <v>1.5</v>
      </c>
      <c r="G670">
        <v>245</v>
      </c>
      <c r="H670" s="72">
        <f t="shared" si="10"/>
        <v>0.34170153417015342</v>
      </c>
    </row>
    <row r="671" spans="1:8" x14ac:dyDescent="0.25">
      <c r="A671" s="141" t="s">
        <v>1810</v>
      </c>
      <c r="B671" s="80">
        <v>4701</v>
      </c>
      <c r="C671" s="80">
        <v>2034</v>
      </c>
      <c r="D671" s="80">
        <v>37445</v>
      </c>
      <c r="E671" s="167">
        <v>7001</v>
      </c>
      <c r="F671" s="73">
        <v>4.4000000000000004</v>
      </c>
      <c r="G671">
        <v>1128</v>
      </c>
      <c r="H671" s="72">
        <f t="shared" si="10"/>
        <v>0.55457227138643073</v>
      </c>
    </row>
    <row r="672" spans="1:8" x14ac:dyDescent="0.25">
      <c r="A672" s="141" t="s">
        <v>1184</v>
      </c>
      <c r="B672" s="80">
        <v>561</v>
      </c>
      <c r="C672" s="80">
        <v>233</v>
      </c>
      <c r="D672" s="80">
        <v>68393</v>
      </c>
      <c r="E672" s="167">
        <v>26407</v>
      </c>
      <c r="F672" s="73">
        <v>0</v>
      </c>
      <c r="G672">
        <v>118</v>
      </c>
      <c r="H672" s="72">
        <f t="shared" si="10"/>
        <v>0.50643776824034337</v>
      </c>
    </row>
    <row r="673" spans="1:8" x14ac:dyDescent="0.25">
      <c r="A673" s="141" t="s">
        <v>1847</v>
      </c>
      <c r="B673" s="80">
        <v>26775</v>
      </c>
      <c r="C673" s="80">
        <v>10165</v>
      </c>
      <c r="D673" s="80">
        <v>108481</v>
      </c>
      <c r="E673" s="167">
        <v>5394</v>
      </c>
      <c r="F673" s="73">
        <v>2</v>
      </c>
      <c r="G673">
        <v>2200</v>
      </c>
      <c r="H673" s="72">
        <f t="shared" si="10"/>
        <v>0.21642892277422529</v>
      </c>
    </row>
    <row r="674" spans="1:8" x14ac:dyDescent="0.25">
      <c r="A674" s="141" t="s">
        <v>1974</v>
      </c>
      <c r="B674" s="80">
        <v>3039</v>
      </c>
      <c r="C674" s="80">
        <v>1338</v>
      </c>
      <c r="D674" s="80">
        <v>61176</v>
      </c>
      <c r="E674" s="167">
        <v>20962</v>
      </c>
      <c r="F674" s="73">
        <v>4.4000000000000004</v>
      </c>
      <c r="G674">
        <v>417</v>
      </c>
      <c r="H674" s="72">
        <f t="shared" si="10"/>
        <v>0.31165919282511212</v>
      </c>
    </row>
    <row r="675" spans="1:8" x14ac:dyDescent="0.25">
      <c r="A675" s="141" t="s">
        <v>2351</v>
      </c>
      <c r="B675" s="80">
        <v>85</v>
      </c>
      <c r="C675" s="80">
        <v>41</v>
      </c>
      <c r="D675" s="80">
        <v>44167</v>
      </c>
      <c r="E675" s="167">
        <v>23144</v>
      </c>
      <c r="F675" s="73">
        <v>6.1</v>
      </c>
      <c r="G675">
        <v>25</v>
      </c>
      <c r="H675" s="72">
        <f t="shared" si="10"/>
        <v>0.6097560975609756</v>
      </c>
    </row>
    <row r="676" spans="1:8" x14ac:dyDescent="0.25">
      <c r="A676" s="141" t="s">
        <v>1552</v>
      </c>
      <c r="B676" s="80">
        <v>489</v>
      </c>
      <c r="C676" s="80">
        <v>180</v>
      </c>
      <c r="D676" s="80">
        <v>65625</v>
      </c>
      <c r="E676" s="167">
        <v>11650</v>
      </c>
      <c r="F676" s="73">
        <v>1.2</v>
      </c>
      <c r="G676">
        <v>62</v>
      </c>
      <c r="H676" s="72">
        <f t="shared" si="10"/>
        <v>0.34444444444444444</v>
      </c>
    </row>
    <row r="677" spans="1:8" x14ac:dyDescent="0.25">
      <c r="A677" s="141" t="s">
        <v>1634</v>
      </c>
      <c r="B677" s="80">
        <v>27201</v>
      </c>
      <c r="C677" s="80">
        <v>9866</v>
      </c>
      <c r="D677" s="80">
        <v>97779</v>
      </c>
      <c r="E677" s="167">
        <v>3629</v>
      </c>
      <c r="F677" s="73">
        <v>3.3</v>
      </c>
      <c r="G677">
        <v>1983</v>
      </c>
      <c r="H677" s="72">
        <f t="shared" si="10"/>
        <v>0.20099331035880802</v>
      </c>
    </row>
    <row r="678" spans="1:8" x14ac:dyDescent="0.25">
      <c r="A678" s="141" t="s">
        <v>1824</v>
      </c>
      <c r="B678" s="80">
        <v>581</v>
      </c>
      <c r="C678" s="80">
        <v>270</v>
      </c>
      <c r="D678" s="80">
        <v>50341</v>
      </c>
      <c r="E678" s="167">
        <v>10222</v>
      </c>
      <c r="F678" s="73">
        <v>5.3</v>
      </c>
      <c r="G678">
        <v>137</v>
      </c>
      <c r="H678" s="72">
        <f t="shared" si="10"/>
        <v>0.50740740740740742</v>
      </c>
    </row>
    <row r="679" spans="1:8" x14ac:dyDescent="0.25">
      <c r="A679" s="141" t="s">
        <v>1690</v>
      </c>
      <c r="B679" s="80">
        <v>481</v>
      </c>
      <c r="C679" s="80">
        <v>202</v>
      </c>
      <c r="D679" s="80">
        <v>78750</v>
      </c>
      <c r="E679" s="167">
        <v>20035</v>
      </c>
      <c r="F679" s="73">
        <v>6.7</v>
      </c>
      <c r="G679">
        <v>42</v>
      </c>
      <c r="H679" s="72">
        <f t="shared" si="10"/>
        <v>0.20792079207920791</v>
      </c>
    </row>
    <row r="680" spans="1:8" x14ac:dyDescent="0.25">
      <c r="A680" s="141" t="s">
        <v>1937</v>
      </c>
      <c r="B680" s="80">
        <v>630</v>
      </c>
      <c r="C680" s="80">
        <v>351</v>
      </c>
      <c r="D680" s="80">
        <v>60000</v>
      </c>
      <c r="E680" s="167">
        <v>13307</v>
      </c>
      <c r="F680" s="73">
        <v>8.8000000000000007</v>
      </c>
      <c r="G680">
        <v>151</v>
      </c>
      <c r="H680" s="72">
        <f t="shared" si="10"/>
        <v>0.43019943019943019</v>
      </c>
    </row>
    <row r="681" spans="1:8" x14ac:dyDescent="0.25">
      <c r="A681" s="141" t="s">
        <v>1806</v>
      </c>
      <c r="B681" s="80">
        <v>779</v>
      </c>
      <c r="C681" s="80">
        <v>366</v>
      </c>
      <c r="D681" s="80">
        <v>54960</v>
      </c>
      <c r="E681" s="167">
        <v>19742</v>
      </c>
      <c r="F681" s="73">
        <v>3</v>
      </c>
      <c r="G681">
        <v>179</v>
      </c>
      <c r="H681" s="72">
        <f t="shared" si="10"/>
        <v>0.48907103825136611</v>
      </c>
    </row>
    <row r="682" spans="1:8" x14ac:dyDescent="0.25">
      <c r="A682" s="141" t="s">
        <v>23</v>
      </c>
      <c r="B682" s="80">
        <v>1500</v>
      </c>
      <c r="C682" s="80">
        <v>355</v>
      </c>
      <c r="D682" s="80">
        <v>39375</v>
      </c>
      <c r="E682" s="167">
        <v>10318</v>
      </c>
      <c r="F682" s="73">
        <v>17.5</v>
      </c>
      <c r="G682">
        <v>905</v>
      </c>
      <c r="H682" s="72">
        <f t="shared" si="10"/>
        <v>2.5492957746478875</v>
      </c>
    </row>
    <row r="683" spans="1:8" x14ac:dyDescent="0.25">
      <c r="A683" s="141" t="s">
        <v>22</v>
      </c>
      <c r="B683" s="80">
        <v>1593</v>
      </c>
      <c r="C683" s="80">
        <v>543</v>
      </c>
      <c r="D683" s="80">
        <v>44318</v>
      </c>
      <c r="E683" s="167">
        <v>8789</v>
      </c>
      <c r="F683" s="73">
        <v>22.6</v>
      </c>
      <c r="G683">
        <v>750</v>
      </c>
      <c r="H683" s="72">
        <f t="shared" si="10"/>
        <v>1.3812154696132597</v>
      </c>
    </row>
    <row r="684" spans="1:8" x14ac:dyDescent="0.25">
      <c r="A684" s="141" t="s">
        <v>1186</v>
      </c>
      <c r="B684" s="80">
        <v>1319</v>
      </c>
      <c r="C684" s="80">
        <v>685</v>
      </c>
      <c r="D684" s="80">
        <v>49280</v>
      </c>
      <c r="E684" s="167">
        <v>8447</v>
      </c>
      <c r="F684" s="73">
        <v>0.7</v>
      </c>
      <c r="G684">
        <v>265</v>
      </c>
      <c r="H684" s="72">
        <f t="shared" si="10"/>
        <v>0.38686131386861317</v>
      </c>
    </row>
    <row r="685" spans="1:8" x14ac:dyDescent="0.25">
      <c r="A685" s="141" t="s">
        <v>1188</v>
      </c>
      <c r="B685" s="80">
        <v>16366</v>
      </c>
      <c r="C685" s="80">
        <v>7406</v>
      </c>
      <c r="D685" s="80">
        <v>57056</v>
      </c>
      <c r="E685" s="167">
        <v>5149</v>
      </c>
      <c r="F685" s="73">
        <v>4.8</v>
      </c>
      <c r="G685">
        <v>2940</v>
      </c>
      <c r="H685" s="72">
        <f t="shared" si="10"/>
        <v>0.39697542533081287</v>
      </c>
    </row>
    <row r="686" spans="1:8" x14ac:dyDescent="0.25">
      <c r="A686" s="141" t="s">
        <v>1190</v>
      </c>
      <c r="B686" s="80">
        <v>4977</v>
      </c>
      <c r="C686" s="80">
        <v>2410</v>
      </c>
      <c r="D686" s="80">
        <v>52418</v>
      </c>
      <c r="E686" s="167">
        <v>10086</v>
      </c>
      <c r="F686" s="73">
        <v>1.1000000000000001</v>
      </c>
      <c r="G686">
        <v>981</v>
      </c>
      <c r="H686" s="72">
        <f t="shared" si="10"/>
        <v>0.40705394190871369</v>
      </c>
    </row>
    <row r="687" spans="1:8" x14ac:dyDescent="0.25">
      <c r="A687" s="141" t="s">
        <v>2352</v>
      </c>
      <c r="B687" s="80">
        <v>51</v>
      </c>
      <c r="C687" s="80">
        <v>21</v>
      </c>
      <c r="D687" s="80">
        <v>71875</v>
      </c>
      <c r="E687" s="167">
        <v>33403</v>
      </c>
      <c r="F687" s="73">
        <v>0</v>
      </c>
      <c r="G687">
        <v>3</v>
      </c>
      <c r="H687" s="72">
        <f t="shared" si="10"/>
        <v>0.14285714285714285</v>
      </c>
    </row>
    <row r="688" spans="1:8" x14ac:dyDescent="0.25">
      <c r="A688" s="141" t="s">
        <v>1864</v>
      </c>
      <c r="B688" s="80">
        <v>343</v>
      </c>
      <c r="C688" s="80">
        <v>214</v>
      </c>
      <c r="D688" s="80">
        <v>21528</v>
      </c>
      <c r="E688" s="167">
        <v>10275</v>
      </c>
      <c r="F688" s="73">
        <v>7.8</v>
      </c>
      <c r="G688">
        <v>153</v>
      </c>
      <c r="H688" s="72">
        <f t="shared" si="10"/>
        <v>0.71495327102803741</v>
      </c>
    </row>
    <row r="689" spans="1:8" x14ac:dyDescent="0.25">
      <c r="A689" s="141" t="s">
        <v>1192</v>
      </c>
      <c r="B689" s="80">
        <v>1271</v>
      </c>
      <c r="C689" s="80">
        <v>631</v>
      </c>
      <c r="D689" s="80">
        <v>64327</v>
      </c>
      <c r="E689" s="167">
        <v>10425</v>
      </c>
      <c r="F689" s="73">
        <v>6.3</v>
      </c>
      <c r="G689">
        <v>272</v>
      </c>
      <c r="H689" s="72">
        <f t="shared" si="10"/>
        <v>0.43106180665610144</v>
      </c>
    </row>
    <row r="690" spans="1:8" x14ac:dyDescent="0.25">
      <c r="A690" s="141" t="s">
        <v>1955</v>
      </c>
      <c r="B690" s="80">
        <v>67</v>
      </c>
      <c r="C690" s="80">
        <v>34</v>
      </c>
      <c r="D690" s="80">
        <v>34375</v>
      </c>
      <c r="E690" s="167">
        <v>8273</v>
      </c>
      <c r="F690" s="73">
        <v>2.9</v>
      </c>
      <c r="G690">
        <v>38</v>
      </c>
      <c r="H690" s="72">
        <f t="shared" si="10"/>
        <v>1.1176470588235294</v>
      </c>
    </row>
    <row r="691" spans="1:8" x14ac:dyDescent="0.25">
      <c r="A691" s="141" t="s">
        <v>1581</v>
      </c>
      <c r="B691" s="80">
        <v>1734</v>
      </c>
      <c r="C691" s="80">
        <v>614</v>
      </c>
      <c r="D691" s="80">
        <v>85114</v>
      </c>
      <c r="E691" s="167">
        <v>11189</v>
      </c>
      <c r="F691" s="73">
        <v>2.6</v>
      </c>
      <c r="G691">
        <v>203</v>
      </c>
      <c r="H691" s="72">
        <f t="shared" si="10"/>
        <v>0.3306188925081433</v>
      </c>
    </row>
    <row r="692" spans="1:8" x14ac:dyDescent="0.25">
      <c r="A692" s="141" t="s">
        <v>21</v>
      </c>
      <c r="B692" s="80">
        <v>267</v>
      </c>
      <c r="C692" s="80">
        <v>101</v>
      </c>
      <c r="D692" s="80">
        <v>47782</v>
      </c>
      <c r="E692" s="167">
        <v>2233</v>
      </c>
      <c r="F692" s="73">
        <v>27.3</v>
      </c>
      <c r="G692">
        <v>177</v>
      </c>
      <c r="H692" s="72">
        <f t="shared" si="10"/>
        <v>1.7524752475247525</v>
      </c>
    </row>
    <row r="693" spans="1:8" x14ac:dyDescent="0.25">
      <c r="A693" s="141" t="s">
        <v>1950</v>
      </c>
      <c r="B693" s="80">
        <v>4136</v>
      </c>
      <c r="C693" s="80">
        <v>1822</v>
      </c>
      <c r="D693" s="80">
        <v>78795</v>
      </c>
      <c r="E693" s="167">
        <v>8218</v>
      </c>
      <c r="F693" s="73">
        <v>2.5</v>
      </c>
      <c r="G693">
        <v>449</v>
      </c>
      <c r="H693" s="72">
        <f t="shared" si="10"/>
        <v>0.24643249176728868</v>
      </c>
    </row>
    <row r="694" spans="1:8" x14ac:dyDescent="0.25">
      <c r="A694" s="141" t="s">
        <v>1464</v>
      </c>
      <c r="B694" s="80">
        <v>36253</v>
      </c>
      <c r="C694" s="80">
        <v>15802</v>
      </c>
      <c r="D694" s="80">
        <v>70091</v>
      </c>
      <c r="E694" s="167">
        <v>2876</v>
      </c>
      <c r="F694" s="73">
        <v>5</v>
      </c>
      <c r="G694">
        <v>4948</v>
      </c>
      <c r="H694" s="72">
        <f t="shared" si="10"/>
        <v>0.31312492089608912</v>
      </c>
    </row>
    <row r="695" spans="1:8" x14ac:dyDescent="0.25">
      <c r="A695" s="141" t="s">
        <v>1820</v>
      </c>
      <c r="B695" s="80">
        <v>1384</v>
      </c>
      <c r="C695" s="80">
        <v>591</v>
      </c>
      <c r="D695" s="80">
        <v>56042</v>
      </c>
      <c r="E695" s="167">
        <v>6041</v>
      </c>
      <c r="F695" s="73">
        <v>2.6</v>
      </c>
      <c r="G695">
        <v>198</v>
      </c>
      <c r="H695" s="72">
        <f t="shared" si="10"/>
        <v>0.3350253807106599</v>
      </c>
    </row>
    <row r="696" spans="1:8" x14ac:dyDescent="0.25">
      <c r="A696" s="141" t="s">
        <v>2353</v>
      </c>
      <c r="B696" s="80">
        <v>79</v>
      </c>
      <c r="C696" s="80">
        <v>43</v>
      </c>
      <c r="D696" s="80">
        <v>66250</v>
      </c>
      <c r="E696" s="167">
        <v>51337</v>
      </c>
      <c r="F696" s="73">
        <v>0</v>
      </c>
      <c r="G696">
        <v>22</v>
      </c>
      <c r="H696" s="72">
        <f t="shared" si="10"/>
        <v>0.51162790697674421</v>
      </c>
    </row>
    <row r="697" spans="1:8" x14ac:dyDescent="0.25">
      <c r="A697" s="141" t="s">
        <v>20</v>
      </c>
      <c r="B697" s="80">
        <v>265</v>
      </c>
      <c r="C697" s="80">
        <v>80</v>
      </c>
      <c r="D697" s="80">
        <v>26719</v>
      </c>
      <c r="E697" s="167">
        <v>4555</v>
      </c>
      <c r="F697" s="73">
        <v>28.7</v>
      </c>
      <c r="G697">
        <v>204</v>
      </c>
      <c r="H697" s="72">
        <f t="shared" si="10"/>
        <v>2.5499999999999998</v>
      </c>
    </row>
    <row r="698" spans="1:8" x14ac:dyDescent="0.25">
      <c r="A698" s="141" t="s">
        <v>1879</v>
      </c>
      <c r="B698" s="80">
        <v>205</v>
      </c>
      <c r="C698" s="80">
        <v>85</v>
      </c>
      <c r="D698" s="80">
        <v>36979</v>
      </c>
      <c r="E698" s="167">
        <v>32623</v>
      </c>
      <c r="F698" s="73">
        <v>0</v>
      </c>
      <c r="G698">
        <v>99</v>
      </c>
      <c r="H698" s="72">
        <f t="shared" si="10"/>
        <v>1.1647058823529413</v>
      </c>
    </row>
    <row r="699" spans="1:8" x14ac:dyDescent="0.25">
      <c r="A699" s="141" t="s">
        <v>1465</v>
      </c>
      <c r="B699" s="80">
        <v>14393</v>
      </c>
      <c r="C699" s="80">
        <v>6619</v>
      </c>
      <c r="D699" s="80">
        <v>73510</v>
      </c>
      <c r="E699" s="167">
        <v>5705</v>
      </c>
      <c r="F699" s="73">
        <v>4</v>
      </c>
      <c r="G699">
        <v>2348</v>
      </c>
      <c r="H699" s="72">
        <f t="shared" si="10"/>
        <v>0.3547363650098202</v>
      </c>
    </row>
    <row r="700" spans="1:8" x14ac:dyDescent="0.25">
      <c r="A700" s="141" t="s">
        <v>1194</v>
      </c>
      <c r="B700" s="80">
        <v>117134</v>
      </c>
      <c r="C700" s="80">
        <v>50944</v>
      </c>
      <c r="D700" s="80">
        <v>76034</v>
      </c>
      <c r="E700" s="167">
        <v>2188</v>
      </c>
      <c r="F700" s="73">
        <v>3.9</v>
      </c>
      <c r="G700">
        <v>18249</v>
      </c>
      <c r="H700" s="72">
        <f t="shared" si="10"/>
        <v>0.35821686557788945</v>
      </c>
    </row>
    <row r="701" spans="1:8" x14ac:dyDescent="0.25">
      <c r="A701" s="141" t="s">
        <v>2354</v>
      </c>
      <c r="B701" s="80">
        <v>1801</v>
      </c>
      <c r="C701" s="80">
        <v>643</v>
      </c>
      <c r="D701" s="80">
        <v>73319</v>
      </c>
      <c r="E701" s="167">
        <v>4066</v>
      </c>
      <c r="F701" s="73">
        <v>6.9</v>
      </c>
      <c r="G701">
        <v>141</v>
      </c>
      <c r="H701" s="72">
        <f t="shared" si="10"/>
        <v>0.21928460342146189</v>
      </c>
    </row>
    <row r="702" spans="1:8" x14ac:dyDescent="0.25">
      <c r="A702" s="141" t="s">
        <v>1842</v>
      </c>
      <c r="B702" s="80">
        <v>4481</v>
      </c>
      <c r="C702" s="80">
        <v>1640</v>
      </c>
      <c r="D702" s="80">
        <v>73649</v>
      </c>
      <c r="E702" s="167">
        <v>10981</v>
      </c>
      <c r="F702" s="73">
        <v>2.5</v>
      </c>
      <c r="G702">
        <v>568</v>
      </c>
      <c r="H702" s="72">
        <f t="shared" si="10"/>
        <v>0.34634146341463412</v>
      </c>
    </row>
    <row r="703" spans="1:8" x14ac:dyDescent="0.25">
      <c r="A703" s="141" t="s">
        <v>1671</v>
      </c>
      <c r="B703" s="80">
        <v>2571</v>
      </c>
      <c r="C703" s="80">
        <v>1163</v>
      </c>
      <c r="D703" s="80">
        <v>88438</v>
      </c>
      <c r="E703" s="167">
        <v>13046</v>
      </c>
      <c r="F703" s="73">
        <v>2</v>
      </c>
      <c r="G703">
        <v>343</v>
      </c>
      <c r="H703" s="72">
        <f t="shared" si="10"/>
        <v>0.29492691315563196</v>
      </c>
    </row>
    <row r="704" spans="1:8" x14ac:dyDescent="0.25">
      <c r="A704" s="141" t="s">
        <v>1196</v>
      </c>
      <c r="B704" s="80">
        <v>13183</v>
      </c>
      <c r="C704" s="80">
        <v>4574</v>
      </c>
      <c r="D704" s="80">
        <v>133988</v>
      </c>
      <c r="E704" s="167">
        <v>21635</v>
      </c>
      <c r="F704" s="73">
        <v>1.2</v>
      </c>
      <c r="G704">
        <v>385</v>
      </c>
      <c r="H704" s="72">
        <f t="shared" si="10"/>
        <v>8.4171403585483168E-2</v>
      </c>
    </row>
    <row r="705" spans="1:8" x14ac:dyDescent="0.25">
      <c r="A705" s="141" t="s">
        <v>1516</v>
      </c>
      <c r="B705" s="80">
        <v>651</v>
      </c>
      <c r="C705" s="80">
        <v>246</v>
      </c>
      <c r="D705" s="80">
        <v>77500</v>
      </c>
      <c r="E705" s="167">
        <v>13265</v>
      </c>
      <c r="F705" s="73">
        <v>2.9</v>
      </c>
      <c r="G705">
        <v>80</v>
      </c>
      <c r="H705" s="72">
        <f t="shared" si="10"/>
        <v>0.32520325203252032</v>
      </c>
    </row>
    <row r="706" spans="1:8" x14ac:dyDescent="0.25">
      <c r="A706" s="141" t="s">
        <v>19</v>
      </c>
      <c r="B706" s="80">
        <v>45</v>
      </c>
      <c r="C706" s="80">
        <v>13</v>
      </c>
      <c r="D706" s="80">
        <v>96250</v>
      </c>
      <c r="E706" s="167">
        <v>46071</v>
      </c>
      <c r="F706" s="73">
        <v>3.7</v>
      </c>
      <c r="G706">
        <v>2</v>
      </c>
      <c r="H706" s="72">
        <f t="shared" ref="H706:H769" si="11">G706/C706</f>
        <v>0.15384615384615385</v>
      </c>
    </row>
    <row r="707" spans="1:8" x14ac:dyDescent="0.25">
      <c r="A707" s="141" t="s">
        <v>2355</v>
      </c>
      <c r="B707" s="80">
        <v>126</v>
      </c>
      <c r="C707" s="80">
        <v>48</v>
      </c>
      <c r="D707" s="80">
        <v>56458</v>
      </c>
      <c r="E707" s="167">
        <v>9430</v>
      </c>
      <c r="F707" s="73">
        <v>0</v>
      </c>
      <c r="G707">
        <v>28</v>
      </c>
      <c r="H707" s="72">
        <f t="shared" si="11"/>
        <v>0.58333333333333337</v>
      </c>
    </row>
    <row r="708" spans="1:8" x14ac:dyDescent="0.25">
      <c r="A708" s="141" t="s">
        <v>1672</v>
      </c>
      <c r="B708" s="80">
        <v>131</v>
      </c>
      <c r="C708" s="80">
        <v>55</v>
      </c>
      <c r="D708" s="80">
        <v>53750</v>
      </c>
      <c r="E708" s="167">
        <v>30455</v>
      </c>
      <c r="F708" s="73">
        <v>4.2</v>
      </c>
      <c r="G708">
        <v>42</v>
      </c>
      <c r="H708" s="72">
        <f t="shared" si="11"/>
        <v>0.76363636363636367</v>
      </c>
    </row>
    <row r="709" spans="1:8" x14ac:dyDescent="0.25">
      <c r="A709" s="141" t="s">
        <v>1631</v>
      </c>
      <c r="B709" s="80">
        <v>2686</v>
      </c>
      <c r="C709" s="80">
        <v>1466</v>
      </c>
      <c r="D709" s="80">
        <v>55815</v>
      </c>
      <c r="E709" s="167">
        <v>3257</v>
      </c>
      <c r="F709" s="73">
        <v>4.0999999999999996</v>
      </c>
      <c r="G709">
        <v>350</v>
      </c>
      <c r="H709" s="72">
        <f t="shared" si="11"/>
        <v>0.23874488403819918</v>
      </c>
    </row>
    <row r="710" spans="1:8" x14ac:dyDescent="0.25">
      <c r="A710" s="141" t="s">
        <v>1720</v>
      </c>
      <c r="B710" s="80">
        <v>536</v>
      </c>
      <c r="C710" s="80">
        <v>214</v>
      </c>
      <c r="D710" s="80">
        <v>59464</v>
      </c>
      <c r="E710" s="167">
        <v>6948</v>
      </c>
      <c r="F710" s="73">
        <v>0</v>
      </c>
      <c r="G710">
        <v>70</v>
      </c>
      <c r="H710" s="72">
        <f t="shared" si="11"/>
        <v>0.32710280373831774</v>
      </c>
    </row>
    <row r="711" spans="1:8" x14ac:dyDescent="0.25">
      <c r="A711" s="141" t="s">
        <v>1585</v>
      </c>
      <c r="B711" s="80">
        <v>24792</v>
      </c>
      <c r="C711" s="80">
        <v>8920</v>
      </c>
      <c r="D711" s="80">
        <v>110573</v>
      </c>
      <c r="E711" s="167">
        <v>7080</v>
      </c>
      <c r="F711" s="73">
        <v>3</v>
      </c>
      <c r="G711">
        <v>1397</v>
      </c>
      <c r="H711" s="72">
        <f t="shared" si="11"/>
        <v>0.15661434977578476</v>
      </c>
    </row>
    <row r="712" spans="1:8" x14ac:dyDescent="0.25">
      <c r="A712" s="141" t="s">
        <v>1969</v>
      </c>
      <c r="B712" s="80">
        <v>36139</v>
      </c>
      <c r="C712" s="80">
        <v>16031</v>
      </c>
      <c r="D712" s="80">
        <v>74571</v>
      </c>
      <c r="E712" s="167">
        <v>3019</v>
      </c>
      <c r="F712" s="73">
        <v>4</v>
      </c>
      <c r="G712">
        <v>4136</v>
      </c>
      <c r="H712" s="72">
        <f t="shared" si="11"/>
        <v>0.25800012475828082</v>
      </c>
    </row>
    <row r="713" spans="1:8" x14ac:dyDescent="0.25">
      <c r="A713" s="141" t="s">
        <v>1566</v>
      </c>
      <c r="B713" s="80">
        <v>502</v>
      </c>
      <c r="C713" s="80">
        <v>258</v>
      </c>
      <c r="D713" s="80">
        <v>63839</v>
      </c>
      <c r="E713" s="167">
        <v>5188</v>
      </c>
      <c r="F713" s="73">
        <v>0.4</v>
      </c>
      <c r="G713">
        <v>72</v>
      </c>
      <c r="H713" s="72">
        <f t="shared" si="11"/>
        <v>0.27906976744186046</v>
      </c>
    </row>
    <row r="714" spans="1:8" x14ac:dyDescent="0.25">
      <c r="A714" s="141" t="s">
        <v>1996</v>
      </c>
      <c r="B714" s="80">
        <v>425</v>
      </c>
      <c r="C714" s="80">
        <v>239</v>
      </c>
      <c r="D714" s="80">
        <v>54063</v>
      </c>
      <c r="E714" s="167">
        <v>3452</v>
      </c>
      <c r="F714" s="73">
        <v>1.8</v>
      </c>
      <c r="G714">
        <v>88</v>
      </c>
      <c r="H714" s="72">
        <f t="shared" si="11"/>
        <v>0.3682008368200837</v>
      </c>
    </row>
    <row r="715" spans="1:8" x14ac:dyDescent="0.25">
      <c r="A715" s="141" t="s">
        <v>1825</v>
      </c>
      <c r="B715" s="80">
        <v>1186</v>
      </c>
      <c r="C715" s="80">
        <v>521</v>
      </c>
      <c r="D715" s="80">
        <v>54667</v>
      </c>
      <c r="E715" s="167">
        <v>7876</v>
      </c>
      <c r="F715" s="73">
        <v>3.8</v>
      </c>
      <c r="G715">
        <v>332</v>
      </c>
      <c r="H715" s="72">
        <f t="shared" si="11"/>
        <v>0.63723608445297508</v>
      </c>
    </row>
    <row r="716" spans="1:8" x14ac:dyDescent="0.25">
      <c r="A716" s="141" t="s">
        <v>18</v>
      </c>
      <c r="B716" s="80">
        <v>54</v>
      </c>
      <c r="C716" s="80">
        <v>51</v>
      </c>
      <c r="D716" s="80">
        <v>131875</v>
      </c>
      <c r="E716" s="167">
        <v>59573</v>
      </c>
      <c r="F716" s="73">
        <v>0</v>
      </c>
      <c r="G716">
        <v>23</v>
      </c>
      <c r="H716" s="72">
        <f t="shared" si="11"/>
        <v>0.45098039215686275</v>
      </c>
    </row>
    <row r="717" spans="1:8" x14ac:dyDescent="0.25">
      <c r="A717" s="141" t="s">
        <v>1518</v>
      </c>
      <c r="B717" s="80">
        <v>3175</v>
      </c>
      <c r="C717" s="80">
        <v>988</v>
      </c>
      <c r="D717" s="80">
        <v>48182</v>
      </c>
      <c r="E717" s="167">
        <v>5401</v>
      </c>
      <c r="F717" s="73">
        <v>6.3</v>
      </c>
      <c r="G717">
        <v>525</v>
      </c>
      <c r="H717" s="72">
        <f t="shared" si="11"/>
        <v>0.53137651821862353</v>
      </c>
    </row>
    <row r="718" spans="1:8" x14ac:dyDescent="0.25">
      <c r="A718" s="141" t="s">
        <v>1198</v>
      </c>
      <c r="B718" s="80">
        <v>1774</v>
      </c>
      <c r="C718" s="80">
        <v>804</v>
      </c>
      <c r="D718" s="80">
        <v>62148</v>
      </c>
      <c r="E718" s="167">
        <v>7744</v>
      </c>
      <c r="F718" s="73">
        <v>3.2</v>
      </c>
      <c r="G718">
        <v>180</v>
      </c>
      <c r="H718" s="72">
        <f t="shared" si="11"/>
        <v>0.22388059701492538</v>
      </c>
    </row>
    <row r="719" spans="1:8" x14ac:dyDescent="0.25">
      <c r="A719" s="141" t="s">
        <v>1547</v>
      </c>
      <c r="B719" s="80">
        <v>759</v>
      </c>
      <c r="C719" s="80">
        <v>353</v>
      </c>
      <c r="D719" s="80">
        <v>76563</v>
      </c>
      <c r="E719" s="167">
        <v>20855</v>
      </c>
      <c r="F719" s="73">
        <v>1.6</v>
      </c>
      <c r="G719">
        <v>103</v>
      </c>
      <c r="H719" s="72">
        <f t="shared" si="11"/>
        <v>0.29178470254957506</v>
      </c>
    </row>
    <row r="720" spans="1:8" x14ac:dyDescent="0.25">
      <c r="A720" s="141" t="s">
        <v>1935</v>
      </c>
      <c r="B720" s="80">
        <v>343</v>
      </c>
      <c r="C720" s="80">
        <v>185</v>
      </c>
      <c r="D720" s="80">
        <v>40833</v>
      </c>
      <c r="E720" s="167">
        <v>12007</v>
      </c>
      <c r="F720" s="73">
        <v>5</v>
      </c>
      <c r="G720">
        <v>100</v>
      </c>
      <c r="H720" s="72">
        <f t="shared" si="11"/>
        <v>0.54054054054054057</v>
      </c>
    </row>
    <row r="721" spans="1:8" x14ac:dyDescent="0.25">
      <c r="A721" s="141" t="s">
        <v>1971</v>
      </c>
      <c r="B721" s="80">
        <v>312</v>
      </c>
      <c r="C721" s="80">
        <v>167</v>
      </c>
      <c r="D721" s="80">
        <v>53594</v>
      </c>
      <c r="E721" s="167">
        <v>9037</v>
      </c>
      <c r="F721" s="73">
        <v>6.3</v>
      </c>
      <c r="G721">
        <v>25</v>
      </c>
      <c r="H721" s="72">
        <f t="shared" si="11"/>
        <v>0.1497005988023952</v>
      </c>
    </row>
    <row r="722" spans="1:8" x14ac:dyDescent="0.25">
      <c r="A722" s="141" t="s">
        <v>1580</v>
      </c>
      <c r="B722" s="80">
        <v>236</v>
      </c>
      <c r="C722" s="80">
        <v>118</v>
      </c>
      <c r="D722" s="80">
        <v>43594</v>
      </c>
      <c r="E722" s="167">
        <v>4046</v>
      </c>
      <c r="F722" s="73">
        <v>0.9</v>
      </c>
      <c r="G722">
        <v>92</v>
      </c>
      <c r="H722" s="72">
        <f t="shared" si="11"/>
        <v>0.77966101694915257</v>
      </c>
    </row>
    <row r="723" spans="1:8" x14ac:dyDescent="0.25">
      <c r="A723" s="141" t="s">
        <v>2356</v>
      </c>
      <c r="B723" s="80">
        <v>240</v>
      </c>
      <c r="C723" s="80">
        <v>149</v>
      </c>
      <c r="D723" s="80">
        <v>53173</v>
      </c>
      <c r="E723" s="167">
        <v>5573</v>
      </c>
      <c r="F723" s="73">
        <v>0</v>
      </c>
      <c r="G723">
        <v>69</v>
      </c>
      <c r="H723" s="72">
        <f t="shared" si="11"/>
        <v>0.46308724832214765</v>
      </c>
    </row>
    <row r="724" spans="1:8" x14ac:dyDescent="0.25">
      <c r="A724" s="141" t="s">
        <v>1867</v>
      </c>
      <c r="B724" s="80">
        <v>545</v>
      </c>
      <c r="C724" s="80">
        <v>212</v>
      </c>
      <c r="D724" s="80">
        <v>102500</v>
      </c>
      <c r="E724" s="167">
        <v>19875</v>
      </c>
      <c r="F724" s="73">
        <v>3</v>
      </c>
      <c r="G724">
        <v>27</v>
      </c>
      <c r="H724" s="72">
        <f t="shared" si="11"/>
        <v>0.12735849056603774</v>
      </c>
    </row>
    <row r="725" spans="1:8" x14ac:dyDescent="0.25">
      <c r="A725" s="141" t="s">
        <v>1200</v>
      </c>
      <c r="B725" s="80">
        <v>590</v>
      </c>
      <c r="C725" s="80">
        <v>305</v>
      </c>
      <c r="D725" s="80">
        <v>44583</v>
      </c>
      <c r="E725" s="167">
        <v>19944</v>
      </c>
      <c r="F725" s="73">
        <v>5.2</v>
      </c>
      <c r="G725">
        <v>220</v>
      </c>
      <c r="H725" s="72">
        <f t="shared" si="11"/>
        <v>0.72131147540983609</v>
      </c>
    </row>
    <row r="726" spans="1:8" ht="30" x14ac:dyDescent="0.25">
      <c r="A726" s="141" t="s">
        <v>17</v>
      </c>
      <c r="B726" s="80">
        <v>9035</v>
      </c>
      <c r="C726" s="80">
        <v>4270</v>
      </c>
      <c r="D726" s="80">
        <v>85469</v>
      </c>
      <c r="E726" s="167">
        <v>13434</v>
      </c>
      <c r="F726" s="73">
        <v>4</v>
      </c>
      <c r="G726">
        <v>994</v>
      </c>
      <c r="H726" s="72">
        <f t="shared" si="11"/>
        <v>0.23278688524590163</v>
      </c>
    </row>
    <row r="727" spans="1:8" x14ac:dyDescent="0.25">
      <c r="A727" s="141" t="s">
        <v>2406</v>
      </c>
      <c r="B727" s="80">
        <v>80</v>
      </c>
      <c r="C727" s="80">
        <v>29</v>
      </c>
      <c r="D727" s="80">
        <v>56250</v>
      </c>
      <c r="E727" s="167">
        <v>15703</v>
      </c>
      <c r="F727" s="73">
        <v>2.2000000000000002</v>
      </c>
      <c r="G727">
        <v>13</v>
      </c>
      <c r="H727" s="72">
        <f t="shared" si="11"/>
        <v>0.44827586206896552</v>
      </c>
    </row>
    <row r="728" spans="1:8" x14ac:dyDescent="0.25">
      <c r="A728" s="141" t="s">
        <v>2407</v>
      </c>
      <c r="B728" s="80">
        <v>3785</v>
      </c>
      <c r="C728" s="80">
        <v>1258</v>
      </c>
      <c r="D728" s="80">
        <v>97167</v>
      </c>
      <c r="E728" s="167">
        <v>8848</v>
      </c>
      <c r="F728" s="73">
        <v>3.1</v>
      </c>
      <c r="G728">
        <v>211</v>
      </c>
      <c r="H728" s="72">
        <f t="shared" si="11"/>
        <v>0.16772655007949125</v>
      </c>
    </row>
    <row r="729" spans="1:8" x14ac:dyDescent="0.25">
      <c r="A729" s="141" t="s">
        <v>2408</v>
      </c>
      <c r="B729" s="80">
        <v>2017</v>
      </c>
      <c r="C729" s="80">
        <v>854</v>
      </c>
      <c r="D729" s="80">
        <v>95750</v>
      </c>
      <c r="E729" s="167">
        <v>24701</v>
      </c>
      <c r="F729" s="73">
        <v>2.2000000000000002</v>
      </c>
      <c r="G729">
        <v>167</v>
      </c>
      <c r="H729" s="72">
        <f t="shared" si="11"/>
        <v>0.1955503512880562</v>
      </c>
    </row>
    <row r="730" spans="1:8" x14ac:dyDescent="0.25">
      <c r="A730" s="141" t="s">
        <v>2409</v>
      </c>
      <c r="B730" s="80">
        <v>3749</v>
      </c>
      <c r="C730" s="80">
        <v>1564</v>
      </c>
      <c r="D730" s="80">
        <v>85899</v>
      </c>
      <c r="E730" s="167">
        <v>8215</v>
      </c>
      <c r="F730" s="73">
        <v>2.7</v>
      </c>
      <c r="G730">
        <v>267</v>
      </c>
      <c r="H730" s="72">
        <f t="shared" si="11"/>
        <v>0.17071611253196931</v>
      </c>
    </row>
    <row r="731" spans="1:8" x14ac:dyDescent="0.25">
      <c r="A731" s="141" t="s">
        <v>2410</v>
      </c>
      <c r="B731" s="80">
        <v>764</v>
      </c>
      <c r="C731" s="80">
        <v>300</v>
      </c>
      <c r="D731" s="80">
        <v>74688</v>
      </c>
      <c r="E731" s="167">
        <v>15212</v>
      </c>
      <c r="F731" s="73">
        <v>4.7</v>
      </c>
      <c r="G731">
        <v>93</v>
      </c>
      <c r="H731" s="72">
        <f t="shared" si="11"/>
        <v>0.31</v>
      </c>
    </row>
    <row r="732" spans="1:8" x14ac:dyDescent="0.25">
      <c r="A732" s="141" t="s">
        <v>1001</v>
      </c>
      <c r="B732" s="80">
        <v>68390</v>
      </c>
      <c r="C732" s="80">
        <v>28559</v>
      </c>
      <c r="D732" s="80">
        <v>50335</v>
      </c>
      <c r="E732" s="167">
        <v>2935</v>
      </c>
      <c r="F732" s="73">
        <v>7.6</v>
      </c>
      <c r="G732">
        <v>20950</v>
      </c>
      <c r="H732" s="72">
        <f t="shared" si="11"/>
        <v>0.73356910255961338</v>
      </c>
    </row>
    <row r="733" spans="1:8" x14ac:dyDescent="0.25">
      <c r="A733" s="141" t="s">
        <v>2411</v>
      </c>
      <c r="B733" s="80">
        <v>7793</v>
      </c>
      <c r="C733" s="80">
        <v>2674</v>
      </c>
      <c r="D733" s="80">
        <v>85607</v>
      </c>
      <c r="E733" s="167">
        <v>5391</v>
      </c>
      <c r="F733" s="73">
        <v>3</v>
      </c>
      <c r="G733">
        <v>1004</v>
      </c>
      <c r="H733" s="72">
        <f t="shared" si="11"/>
        <v>0.37546746447270007</v>
      </c>
    </row>
    <row r="734" spans="1:8" x14ac:dyDescent="0.25">
      <c r="A734" s="141" t="s">
        <v>2412</v>
      </c>
      <c r="B734" s="80">
        <v>254</v>
      </c>
      <c r="C734" s="80">
        <v>102</v>
      </c>
      <c r="D734" s="80">
        <v>87500</v>
      </c>
      <c r="E734" s="167">
        <v>49254</v>
      </c>
      <c r="F734" s="73">
        <v>1.2</v>
      </c>
      <c r="G734">
        <v>21</v>
      </c>
      <c r="H734" s="72">
        <f t="shared" si="11"/>
        <v>0.20588235294117646</v>
      </c>
    </row>
    <row r="735" spans="1:8" x14ac:dyDescent="0.25">
      <c r="A735" s="141" t="s">
        <v>2413</v>
      </c>
      <c r="B735" s="80">
        <v>4414</v>
      </c>
      <c r="C735" s="80">
        <v>2028</v>
      </c>
      <c r="D735" s="80">
        <v>38662</v>
      </c>
      <c r="E735" s="167">
        <v>5344</v>
      </c>
      <c r="F735" s="73">
        <v>4.5</v>
      </c>
      <c r="G735">
        <v>1189</v>
      </c>
      <c r="H735" s="72">
        <f t="shared" si="11"/>
        <v>0.58629191321499019</v>
      </c>
    </row>
    <row r="736" spans="1:8" x14ac:dyDescent="0.25">
      <c r="A736" s="141" t="s">
        <v>16</v>
      </c>
      <c r="B736" s="80">
        <v>1637</v>
      </c>
      <c r="C736" s="80">
        <v>6</v>
      </c>
      <c r="D736" s="80"/>
      <c r="E736" s="167" t="s">
        <v>0</v>
      </c>
      <c r="F736" s="73">
        <v>9.1</v>
      </c>
      <c r="G736">
        <v>41</v>
      </c>
      <c r="H736" s="72">
        <f t="shared" si="11"/>
        <v>6.833333333333333</v>
      </c>
    </row>
    <row r="737" spans="1:8" x14ac:dyDescent="0.25">
      <c r="A737" s="141" t="s">
        <v>2414</v>
      </c>
      <c r="B737" s="80">
        <v>7448</v>
      </c>
      <c r="C737" s="80">
        <v>2358</v>
      </c>
      <c r="D737" s="80">
        <v>67350</v>
      </c>
      <c r="E737" s="167">
        <v>9041</v>
      </c>
      <c r="F737" s="73">
        <v>2.9</v>
      </c>
      <c r="G737">
        <v>1775</v>
      </c>
      <c r="H737" s="72">
        <f t="shared" si="11"/>
        <v>0.75275657336726043</v>
      </c>
    </row>
    <row r="738" spans="1:8" x14ac:dyDescent="0.25">
      <c r="A738" s="141" t="s">
        <v>2415</v>
      </c>
      <c r="B738" s="80">
        <v>161</v>
      </c>
      <c r="C738" s="80">
        <v>83</v>
      </c>
      <c r="D738" s="80">
        <v>48750</v>
      </c>
      <c r="E738" s="167">
        <v>23999</v>
      </c>
      <c r="F738" s="73">
        <v>1.5</v>
      </c>
      <c r="G738">
        <v>40</v>
      </c>
      <c r="H738" s="72">
        <f t="shared" si="11"/>
        <v>0.48192771084337349</v>
      </c>
    </row>
    <row r="739" spans="1:8" x14ac:dyDescent="0.25">
      <c r="A739" s="141" t="s">
        <v>2416</v>
      </c>
      <c r="B739" s="80">
        <v>48874</v>
      </c>
      <c r="C739" s="80">
        <v>24749</v>
      </c>
      <c r="D739" s="80">
        <v>84694</v>
      </c>
      <c r="E739" s="167">
        <v>3115</v>
      </c>
      <c r="F739" s="73">
        <v>2.4</v>
      </c>
      <c r="G739">
        <v>5035</v>
      </c>
      <c r="H739" s="72">
        <f t="shared" si="11"/>
        <v>0.20344256333589236</v>
      </c>
    </row>
    <row r="740" spans="1:8" x14ac:dyDescent="0.25">
      <c r="A740" s="141" t="s">
        <v>2417</v>
      </c>
      <c r="B740" s="80">
        <v>356</v>
      </c>
      <c r="C740" s="80">
        <v>140</v>
      </c>
      <c r="D740" s="80">
        <v>73750</v>
      </c>
      <c r="E740" s="167">
        <v>16818</v>
      </c>
      <c r="F740" s="73">
        <v>0</v>
      </c>
      <c r="G740">
        <v>54</v>
      </c>
      <c r="H740" s="72">
        <f t="shared" si="11"/>
        <v>0.38571428571428573</v>
      </c>
    </row>
    <row r="741" spans="1:8" x14ac:dyDescent="0.25">
      <c r="A741" s="141" t="s">
        <v>2418</v>
      </c>
      <c r="B741" s="80">
        <v>440</v>
      </c>
      <c r="C741" s="80">
        <v>170</v>
      </c>
      <c r="D741" s="80">
        <v>101875</v>
      </c>
      <c r="E741" s="167">
        <v>48700</v>
      </c>
      <c r="F741" s="73">
        <v>2.2999999999999998</v>
      </c>
      <c r="G741">
        <v>21</v>
      </c>
      <c r="H741" s="72">
        <f t="shared" si="11"/>
        <v>0.12352941176470589</v>
      </c>
    </row>
    <row r="742" spans="1:8" x14ac:dyDescent="0.25">
      <c r="A742" s="141" t="s">
        <v>2419</v>
      </c>
      <c r="B742" s="80">
        <v>17871</v>
      </c>
      <c r="C742" s="80">
        <v>6183</v>
      </c>
      <c r="D742" s="80">
        <v>109487</v>
      </c>
      <c r="E742" s="167">
        <v>9118</v>
      </c>
      <c r="F742" s="73">
        <v>3</v>
      </c>
      <c r="G742">
        <v>833</v>
      </c>
      <c r="H742" s="72">
        <f t="shared" si="11"/>
        <v>0.13472424389454957</v>
      </c>
    </row>
    <row r="743" spans="1:8" x14ac:dyDescent="0.25">
      <c r="A743" s="141" t="s">
        <v>2420</v>
      </c>
      <c r="B743" s="80">
        <v>305877</v>
      </c>
      <c r="C743" s="80">
        <v>121887</v>
      </c>
      <c r="D743" s="80">
        <v>59717</v>
      </c>
      <c r="E743" s="167">
        <v>1122</v>
      </c>
      <c r="F743" s="73">
        <v>5</v>
      </c>
      <c r="G743">
        <v>84665</v>
      </c>
      <c r="H743" s="72">
        <f t="shared" si="11"/>
        <v>0.69461878625284079</v>
      </c>
    </row>
    <row r="744" spans="1:8" x14ac:dyDescent="0.25">
      <c r="A744" s="141" t="s">
        <v>2421</v>
      </c>
      <c r="B744" s="80">
        <v>5404</v>
      </c>
      <c r="C744" s="80">
        <v>2220</v>
      </c>
      <c r="D744" s="80">
        <v>84167</v>
      </c>
      <c r="E744" s="167">
        <v>12926</v>
      </c>
      <c r="F744" s="73">
        <v>2.7</v>
      </c>
      <c r="G744">
        <v>392</v>
      </c>
      <c r="H744" s="72">
        <f t="shared" si="11"/>
        <v>0.17657657657657658</v>
      </c>
    </row>
    <row r="745" spans="1:8" x14ac:dyDescent="0.25">
      <c r="A745" s="141" t="s">
        <v>2422</v>
      </c>
      <c r="B745" s="80">
        <v>11934</v>
      </c>
      <c r="C745" s="80">
        <v>4170</v>
      </c>
      <c r="D745" s="80">
        <v>54455</v>
      </c>
      <c r="E745" s="167">
        <v>6643</v>
      </c>
      <c r="F745" s="73">
        <v>2.2999999999999998</v>
      </c>
      <c r="G745">
        <v>2253</v>
      </c>
      <c r="H745" s="72">
        <f t="shared" si="11"/>
        <v>0.5402877697841727</v>
      </c>
    </row>
    <row r="746" spans="1:8" x14ac:dyDescent="0.25">
      <c r="A746" s="141" t="s">
        <v>2423</v>
      </c>
      <c r="B746" s="80">
        <v>38</v>
      </c>
      <c r="C746" s="80">
        <v>25</v>
      </c>
      <c r="D746" s="80">
        <v>76875</v>
      </c>
      <c r="E746" s="167">
        <v>47964</v>
      </c>
      <c r="F746" s="73">
        <v>0</v>
      </c>
      <c r="G746">
        <v>8</v>
      </c>
      <c r="H746" s="72">
        <f t="shared" si="11"/>
        <v>0.32</v>
      </c>
    </row>
    <row r="747" spans="1:8" x14ac:dyDescent="0.25">
      <c r="A747" s="141" t="s">
        <v>2424</v>
      </c>
      <c r="B747" s="80">
        <v>851</v>
      </c>
      <c r="C747" s="80">
        <v>330</v>
      </c>
      <c r="D747" s="80">
        <v>82273</v>
      </c>
      <c r="E747" s="167">
        <v>5057</v>
      </c>
      <c r="F747" s="73">
        <v>3.1</v>
      </c>
      <c r="G747">
        <v>79</v>
      </c>
      <c r="H747" s="72">
        <f t="shared" si="11"/>
        <v>0.23939393939393938</v>
      </c>
    </row>
    <row r="748" spans="1:8" x14ac:dyDescent="0.25">
      <c r="A748" s="141" t="s">
        <v>2425</v>
      </c>
      <c r="B748" s="80">
        <v>36</v>
      </c>
      <c r="C748" s="80">
        <v>37</v>
      </c>
      <c r="D748" s="80">
        <v>45417</v>
      </c>
      <c r="E748" s="167">
        <v>10313</v>
      </c>
      <c r="F748" s="73">
        <v>8.6999999999999993</v>
      </c>
      <c r="G748">
        <v>4</v>
      </c>
      <c r="H748" s="72">
        <f t="shared" si="11"/>
        <v>0.10810810810810811</v>
      </c>
    </row>
    <row r="749" spans="1:8" x14ac:dyDescent="0.25">
      <c r="A749" s="141" t="s">
        <v>1646</v>
      </c>
      <c r="B749" s="80">
        <v>302</v>
      </c>
      <c r="C749" s="80">
        <v>187</v>
      </c>
      <c r="D749" s="80">
        <v>41563</v>
      </c>
      <c r="E749" s="167">
        <v>8749</v>
      </c>
      <c r="F749" s="73">
        <v>2.2999999999999998</v>
      </c>
      <c r="G749">
        <v>103</v>
      </c>
      <c r="H749" s="72">
        <f t="shared" si="11"/>
        <v>0.55080213903743314</v>
      </c>
    </row>
    <row r="750" spans="1:8" x14ac:dyDescent="0.25">
      <c r="A750" s="141" t="s">
        <v>1798</v>
      </c>
      <c r="B750" s="80">
        <v>2624</v>
      </c>
      <c r="C750" s="80">
        <v>614</v>
      </c>
      <c r="D750" s="80">
        <v>43641</v>
      </c>
      <c r="E750" s="167">
        <v>6285</v>
      </c>
      <c r="F750" s="73">
        <v>5.2</v>
      </c>
      <c r="G750">
        <v>580</v>
      </c>
      <c r="H750" s="72">
        <f t="shared" si="11"/>
        <v>0.94462540716612375</v>
      </c>
    </row>
    <row r="751" spans="1:8" x14ac:dyDescent="0.25">
      <c r="A751" s="141" t="s">
        <v>1553</v>
      </c>
      <c r="B751" s="80">
        <v>44</v>
      </c>
      <c r="C751" s="80">
        <v>27</v>
      </c>
      <c r="D751" s="80">
        <v>41250</v>
      </c>
      <c r="E751" s="167">
        <v>22674</v>
      </c>
      <c r="F751" s="73">
        <v>0</v>
      </c>
      <c r="G751">
        <v>15</v>
      </c>
      <c r="H751" s="72">
        <f t="shared" si="11"/>
        <v>0.55555555555555558</v>
      </c>
    </row>
    <row r="752" spans="1:8" x14ac:dyDescent="0.25">
      <c r="A752" s="141" t="s">
        <v>1681</v>
      </c>
      <c r="B752" s="80">
        <v>18439</v>
      </c>
      <c r="C752" s="80">
        <v>7243</v>
      </c>
      <c r="D752" s="80">
        <v>69577</v>
      </c>
      <c r="E752" s="167">
        <v>6135</v>
      </c>
      <c r="F752" s="73">
        <v>3.6</v>
      </c>
      <c r="G752">
        <v>2063</v>
      </c>
      <c r="H752" s="72">
        <f t="shared" si="11"/>
        <v>0.28482672925583324</v>
      </c>
    </row>
    <row r="753" spans="1:8" x14ac:dyDescent="0.25">
      <c r="A753" s="141" t="s">
        <v>1208</v>
      </c>
      <c r="B753" s="80">
        <v>4466</v>
      </c>
      <c r="C753" s="80">
        <v>2062</v>
      </c>
      <c r="D753" s="80">
        <v>62079</v>
      </c>
      <c r="E753" s="167">
        <v>5080</v>
      </c>
      <c r="F753" s="73">
        <v>2.8</v>
      </c>
      <c r="G753">
        <v>1061</v>
      </c>
      <c r="H753" s="72">
        <f t="shared" si="11"/>
        <v>0.51454898157129003</v>
      </c>
    </row>
    <row r="754" spans="1:8" x14ac:dyDescent="0.25">
      <c r="A754" s="141" t="s">
        <v>1582</v>
      </c>
      <c r="B754" s="80">
        <v>13926</v>
      </c>
      <c r="C754" s="80">
        <v>5791</v>
      </c>
      <c r="D754" s="80">
        <v>53511</v>
      </c>
      <c r="E754" s="167">
        <v>6047</v>
      </c>
      <c r="F754" s="73">
        <v>2.9</v>
      </c>
      <c r="G754">
        <v>2060</v>
      </c>
      <c r="H754" s="72">
        <f t="shared" si="11"/>
        <v>0.3557243999309273</v>
      </c>
    </row>
    <row r="755" spans="1:8" x14ac:dyDescent="0.25">
      <c r="A755" s="141" t="s">
        <v>1664</v>
      </c>
      <c r="B755" s="80">
        <v>31758</v>
      </c>
      <c r="C755" s="80">
        <v>10960</v>
      </c>
      <c r="D755" s="80">
        <v>116895</v>
      </c>
      <c r="E755" s="167">
        <v>8836</v>
      </c>
      <c r="F755" s="73">
        <v>4.5999999999999996</v>
      </c>
      <c r="G755">
        <v>2474</v>
      </c>
      <c r="H755" s="72">
        <f t="shared" si="11"/>
        <v>0.22572992700729927</v>
      </c>
    </row>
    <row r="756" spans="1:8" x14ac:dyDescent="0.25">
      <c r="A756" s="141" t="s">
        <v>2361</v>
      </c>
      <c r="B756" s="80">
        <v>4135</v>
      </c>
      <c r="C756" s="80">
        <v>1645</v>
      </c>
      <c r="D756" s="80">
        <v>84741</v>
      </c>
      <c r="E756" s="167">
        <v>20761</v>
      </c>
      <c r="F756" s="73">
        <v>1.1000000000000001</v>
      </c>
      <c r="G756">
        <v>137</v>
      </c>
      <c r="H756" s="72">
        <f t="shared" si="11"/>
        <v>8.3282674772036477E-2</v>
      </c>
    </row>
    <row r="757" spans="1:8" x14ac:dyDescent="0.25">
      <c r="A757" s="141" t="s">
        <v>2037</v>
      </c>
      <c r="B757" s="80">
        <v>1103</v>
      </c>
      <c r="C757" s="80">
        <v>476</v>
      </c>
      <c r="D757" s="80">
        <v>68235</v>
      </c>
      <c r="E757" s="167">
        <v>9847</v>
      </c>
      <c r="F757" s="73">
        <v>0.7</v>
      </c>
      <c r="G757">
        <v>120</v>
      </c>
      <c r="H757" s="72">
        <f t="shared" si="11"/>
        <v>0.25210084033613445</v>
      </c>
    </row>
    <row r="758" spans="1:8" x14ac:dyDescent="0.25">
      <c r="A758" s="141" t="s">
        <v>2035</v>
      </c>
      <c r="B758" s="80">
        <v>67</v>
      </c>
      <c r="C758" s="80">
        <v>35</v>
      </c>
      <c r="D758" s="80">
        <v>36563</v>
      </c>
      <c r="E758" s="167">
        <v>13885</v>
      </c>
      <c r="F758" s="73">
        <v>2.6</v>
      </c>
      <c r="G758">
        <v>23</v>
      </c>
      <c r="H758" s="72">
        <f t="shared" si="11"/>
        <v>0.65714285714285714</v>
      </c>
    </row>
    <row r="759" spans="1:8" x14ac:dyDescent="0.25">
      <c r="A759" s="141" t="s">
        <v>15</v>
      </c>
      <c r="B759" s="80">
        <v>288</v>
      </c>
      <c r="C759" s="80">
        <v>123</v>
      </c>
      <c r="D759" s="80">
        <v>92750</v>
      </c>
      <c r="E759" s="167">
        <v>46258</v>
      </c>
      <c r="F759" s="73">
        <v>0.9</v>
      </c>
      <c r="G759">
        <v>2</v>
      </c>
      <c r="H759" s="72">
        <f t="shared" si="11"/>
        <v>1.6260162601626018E-2</v>
      </c>
    </row>
    <row r="760" spans="1:8" x14ac:dyDescent="0.25">
      <c r="A760" s="141" t="s">
        <v>1565</v>
      </c>
      <c r="B760" s="80">
        <v>777</v>
      </c>
      <c r="C760" s="80">
        <v>399</v>
      </c>
      <c r="D760" s="80">
        <v>38542</v>
      </c>
      <c r="E760" s="167">
        <v>8700</v>
      </c>
      <c r="F760" s="73">
        <v>1.1000000000000001</v>
      </c>
      <c r="G760">
        <v>204</v>
      </c>
      <c r="H760" s="72">
        <f t="shared" si="11"/>
        <v>0.51127819548872178</v>
      </c>
    </row>
    <row r="761" spans="1:8" x14ac:dyDescent="0.25">
      <c r="A761" s="141" t="s">
        <v>2362</v>
      </c>
      <c r="B761" s="80">
        <v>44</v>
      </c>
      <c r="C761" s="80">
        <v>29</v>
      </c>
      <c r="D761" s="80">
        <v>52250</v>
      </c>
      <c r="E761" s="167">
        <v>8907</v>
      </c>
      <c r="F761" s="73">
        <v>0</v>
      </c>
      <c r="G761">
        <v>9</v>
      </c>
      <c r="H761" s="72">
        <f t="shared" si="11"/>
        <v>0.31034482758620691</v>
      </c>
    </row>
    <row r="762" spans="1:8" x14ac:dyDescent="0.25">
      <c r="A762" s="141" t="s">
        <v>1750</v>
      </c>
      <c r="B762" s="80">
        <v>1155</v>
      </c>
      <c r="C762" s="80">
        <v>413</v>
      </c>
      <c r="D762" s="80">
        <v>81895</v>
      </c>
      <c r="E762" s="167">
        <v>6255</v>
      </c>
      <c r="F762" s="73">
        <v>6</v>
      </c>
      <c r="G762">
        <v>189</v>
      </c>
      <c r="H762" s="72">
        <f t="shared" si="11"/>
        <v>0.4576271186440678</v>
      </c>
    </row>
    <row r="763" spans="1:8" x14ac:dyDescent="0.25">
      <c r="A763" s="141" t="s">
        <v>1511</v>
      </c>
      <c r="B763" s="80">
        <v>41423</v>
      </c>
      <c r="C763" s="80">
        <v>14556</v>
      </c>
      <c r="D763" s="80">
        <v>90642</v>
      </c>
      <c r="E763" s="167">
        <v>3443</v>
      </c>
      <c r="F763" s="73">
        <v>3.5</v>
      </c>
      <c r="G763">
        <v>4569</v>
      </c>
      <c r="H763" s="72">
        <f t="shared" si="11"/>
        <v>0.31389117889530088</v>
      </c>
    </row>
    <row r="764" spans="1:8" x14ac:dyDescent="0.25">
      <c r="A764" s="141" t="s">
        <v>1902</v>
      </c>
      <c r="B764" s="80">
        <v>164</v>
      </c>
      <c r="C764" s="80">
        <v>116</v>
      </c>
      <c r="D764" s="80">
        <v>49750</v>
      </c>
      <c r="E764" s="167">
        <v>18116</v>
      </c>
      <c r="F764" s="73">
        <v>1.1000000000000001</v>
      </c>
      <c r="G764">
        <v>44</v>
      </c>
      <c r="H764" s="72">
        <f t="shared" si="11"/>
        <v>0.37931034482758619</v>
      </c>
    </row>
    <row r="765" spans="1:8" x14ac:dyDescent="0.25">
      <c r="A765" s="141" t="s">
        <v>1210</v>
      </c>
      <c r="B765" s="80">
        <v>1032</v>
      </c>
      <c r="C765" s="80">
        <v>512</v>
      </c>
      <c r="D765" s="80">
        <v>53173</v>
      </c>
      <c r="E765" s="167">
        <v>9515</v>
      </c>
      <c r="F765" s="73">
        <v>2.2999999999999998</v>
      </c>
      <c r="G765">
        <v>252</v>
      </c>
      <c r="H765" s="72">
        <f t="shared" si="11"/>
        <v>0.4921875</v>
      </c>
    </row>
    <row r="766" spans="1:8" x14ac:dyDescent="0.25">
      <c r="A766" s="141" t="s">
        <v>2363</v>
      </c>
      <c r="B766" s="80">
        <v>156</v>
      </c>
      <c r="C766" s="80">
        <v>69</v>
      </c>
      <c r="D766" s="80">
        <v>55313</v>
      </c>
      <c r="E766" s="167">
        <v>17196</v>
      </c>
      <c r="F766" s="73">
        <v>11.7</v>
      </c>
      <c r="G766">
        <v>31</v>
      </c>
      <c r="H766" s="72">
        <f t="shared" si="11"/>
        <v>0.44927536231884058</v>
      </c>
    </row>
    <row r="767" spans="1:8" x14ac:dyDescent="0.25">
      <c r="A767" s="141" t="s">
        <v>1905</v>
      </c>
      <c r="B767" s="80">
        <v>26922</v>
      </c>
      <c r="C767" s="80">
        <v>11695</v>
      </c>
      <c r="D767" s="80">
        <v>97633</v>
      </c>
      <c r="E767" s="167">
        <v>6136</v>
      </c>
      <c r="F767" s="73">
        <v>4</v>
      </c>
      <c r="G767">
        <v>1801</v>
      </c>
      <c r="H767" s="72">
        <f t="shared" si="11"/>
        <v>0.1539974348011971</v>
      </c>
    </row>
    <row r="768" spans="1:8" x14ac:dyDescent="0.25">
      <c r="A768" s="141" t="s">
        <v>1641</v>
      </c>
      <c r="B768" s="80">
        <v>7939</v>
      </c>
      <c r="C768" s="80">
        <v>3085</v>
      </c>
      <c r="D768" s="80">
        <v>146029</v>
      </c>
      <c r="E768" s="167">
        <v>17705</v>
      </c>
      <c r="F768" s="73">
        <v>4.5</v>
      </c>
      <c r="G768">
        <v>417</v>
      </c>
      <c r="H768" s="72">
        <f t="shared" si="11"/>
        <v>0.13517017828200972</v>
      </c>
    </row>
    <row r="769" spans="1:8" x14ac:dyDescent="0.25">
      <c r="A769" s="141" t="s">
        <v>1793</v>
      </c>
      <c r="B769" s="80">
        <v>1610</v>
      </c>
      <c r="C769" s="80">
        <v>980</v>
      </c>
      <c r="D769" s="80">
        <v>56058</v>
      </c>
      <c r="E769" s="167">
        <v>9567</v>
      </c>
      <c r="F769" s="73">
        <v>2.8</v>
      </c>
      <c r="G769">
        <v>253</v>
      </c>
      <c r="H769" s="72">
        <f t="shared" si="11"/>
        <v>0.25816326530612244</v>
      </c>
    </row>
    <row r="770" spans="1:8" x14ac:dyDescent="0.25">
      <c r="A770" s="141" t="s">
        <v>14</v>
      </c>
      <c r="B770" s="80">
        <v>197</v>
      </c>
      <c r="C770" s="80">
        <v>80</v>
      </c>
      <c r="D770" s="80">
        <v>85500</v>
      </c>
      <c r="E770" s="167">
        <v>28058</v>
      </c>
      <c r="F770" s="73">
        <v>4.5</v>
      </c>
      <c r="G770">
        <v>20</v>
      </c>
      <c r="H770" s="72">
        <f t="shared" ref="H770:H833" si="12">G770/C770</f>
        <v>0.25</v>
      </c>
    </row>
    <row r="771" spans="1:8" x14ac:dyDescent="0.25">
      <c r="A771" s="141" t="s">
        <v>1669</v>
      </c>
      <c r="B771" s="80">
        <v>906</v>
      </c>
      <c r="C771" s="80">
        <v>435</v>
      </c>
      <c r="D771" s="80">
        <v>59792</v>
      </c>
      <c r="E771" s="167">
        <v>14218</v>
      </c>
      <c r="F771" s="73">
        <v>2</v>
      </c>
      <c r="G771">
        <v>107</v>
      </c>
      <c r="H771" s="72">
        <f t="shared" si="12"/>
        <v>0.24597701149425288</v>
      </c>
    </row>
    <row r="772" spans="1:8" x14ac:dyDescent="0.25">
      <c r="A772" s="141" t="s">
        <v>1866</v>
      </c>
      <c r="B772" s="80">
        <v>261</v>
      </c>
      <c r="C772" s="80">
        <v>111</v>
      </c>
      <c r="D772" s="80">
        <v>83750</v>
      </c>
      <c r="E772" s="167">
        <v>12436</v>
      </c>
      <c r="F772" s="73">
        <v>1.4</v>
      </c>
      <c r="G772">
        <v>25</v>
      </c>
      <c r="H772" s="72">
        <f t="shared" si="12"/>
        <v>0.22522522522522523</v>
      </c>
    </row>
    <row r="773" spans="1:8" x14ac:dyDescent="0.25">
      <c r="A773" s="141" t="s">
        <v>1653</v>
      </c>
      <c r="B773" s="80">
        <v>1953</v>
      </c>
      <c r="C773" s="80">
        <v>1104</v>
      </c>
      <c r="D773" s="80">
        <v>46875</v>
      </c>
      <c r="E773" s="167">
        <v>14304</v>
      </c>
      <c r="F773" s="73">
        <v>3.9</v>
      </c>
      <c r="G773">
        <v>484</v>
      </c>
      <c r="H773" s="72">
        <f t="shared" si="12"/>
        <v>0.43840579710144928</v>
      </c>
    </row>
    <row r="774" spans="1:8" x14ac:dyDescent="0.25">
      <c r="A774" s="141" t="s">
        <v>1212</v>
      </c>
      <c r="B774" s="80">
        <v>3378</v>
      </c>
      <c r="C774" s="80">
        <v>1669</v>
      </c>
      <c r="D774" s="80">
        <v>53629</v>
      </c>
      <c r="E774" s="167">
        <v>4395</v>
      </c>
      <c r="F774" s="73">
        <v>3.2</v>
      </c>
      <c r="G774">
        <v>515</v>
      </c>
      <c r="H774" s="72">
        <f t="shared" si="12"/>
        <v>0.30856800479328939</v>
      </c>
    </row>
    <row r="775" spans="1:8" x14ac:dyDescent="0.25">
      <c r="A775" s="141" t="s">
        <v>2364</v>
      </c>
      <c r="B775" s="80">
        <v>177</v>
      </c>
      <c r="C775" s="80">
        <v>77</v>
      </c>
      <c r="D775" s="80">
        <v>61000</v>
      </c>
      <c r="E775" s="167">
        <v>14654</v>
      </c>
      <c r="F775" s="73">
        <v>1.8</v>
      </c>
      <c r="G775">
        <v>18</v>
      </c>
      <c r="H775" s="72">
        <f t="shared" si="12"/>
        <v>0.23376623376623376</v>
      </c>
    </row>
    <row r="776" spans="1:8" x14ac:dyDescent="0.25">
      <c r="A776" s="141" t="s">
        <v>2365</v>
      </c>
      <c r="B776" s="80">
        <v>62</v>
      </c>
      <c r="C776" s="80">
        <v>24</v>
      </c>
      <c r="D776" s="80">
        <v>65625</v>
      </c>
      <c r="E776" s="167">
        <v>27652</v>
      </c>
      <c r="F776" s="73">
        <v>0</v>
      </c>
      <c r="G776">
        <v>14</v>
      </c>
      <c r="H776" s="72">
        <f t="shared" si="12"/>
        <v>0.58333333333333337</v>
      </c>
    </row>
    <row r="777" spans="1:8" x14ac:dyDescent="0.25">
      <c r="A777" s="141" t="s">
        <v>13</v>
      </c>
      <c r="B777" s="80">
        <v>467</v>
      </c>
      <c r="C777" s="80">
        <v>269</v>
      </c>
      <c r="D777" s="80">
        <v>46667</v>
      </c>
      <c r="E777" s="167">
        <v>7529</v>
      </c>
      <c r="F777" s="73">
        <v>12.4</v>
      </c>
      <c r="G777">
        <v>67</v>
      </c>
      <c r="H777" s="72">
        <f t="shared" si="12"/>
        <v>0.24907063197026022</v>
      </c>
    </row>
    <row r="778" spans="1:8" x14ac:dyDescent="0.25">
      <c r="A778" s="141" t="s">
        <v>12</v>
      </c>
      <c r="B778" s="80">
        <v>65</v>
      </c>
      <c r="C778" s="80">
        <v>9</v>
      </c>
      <c r="D778" s="80">
        <v>35625</v>
      </c>
      <c r="E778" s="167">
        <v>13201</v>
      </c>
      <c r="F778" s="73">
        <v>42.9</v>
      </c>
      <c r="G778">
        <v>53</v>
      </c>
      <c r="H778" s="72">
        <f t="shared" si="12"/>
        <v>5.8888888888888893</v>
      </c>
    </row>
    <row r="779" spans="1:8" x14ac:dyDescent="0.25">
      <c r="A779" s="141" t="s">
        <v>1730</v>
      </c>
      <c r="B779" s="80">
        <v>174</v>
      </c>
      <c r="C779" s="80">
        <v>73</v>
      </c>
      <c r="D779" s="80">
        <v>61875</v>
      </c>
      <c r="E779" s="167">
        <v>26371</v>
      </c>
      <c r="F779" s="73">
        <v>9.6999999999999993</v>
      </c>
      <c r="G779">
        <v>35</v>
      </c>
      <c r="H779" s="72">
        <f t="shared" si="12"/>
        <v>0.47945205479452052</v>
      </c>
    </row>
    <row r="780" spans="1:8" x14ac:dyDescent="0.25">
      <c r="A780" s="141" t="s">
        <v>2426</v>
      </c>
      <c r="B780" s="80">
        <v>20132</v>
      </c>
      <c r="C780" s="80">
        <v>8408</v>
      </c>
      <c r="D780" s="80">
        <v>63204</v>
      </c>
      <c r="E780" s="167">
        <v>4202</v>
      </c>
      <c r="F780" s="73">
        <v>4.8</v>
      </c>
      <c r="G780">
        <v>3460</v>
      </c>
      <c r="H780" s="72">
        <f t="shared" si="12"/>
        <v>0.41151284490960988</v>
      </c>
    </row>
    <row r="781" spans="1:8" x14ac:dyDescent="0.25">
      <c r="A781" s="141" t="s">
        <v>2009</v>
      </c>
      <c r="B781" s="80">
        <v>1316</v>
      </c>
      <c r="C781" s="80">
        <v>717</v>
      </c>
      <c r="D781" s="80">
        <v>63750</v>
      </c>
      <c r="E781" s="167">
        <v>18399</v>
      </c>
      <c r="F781" s="73">
        <v>1</v>
      </c>
      <c r="G781">
        <v>344</v>
      </c>
      <c r="H781" s="72">
        <f t="shared" si="12"/>
        <v>0.47977684797768477</v>
      </c>
    </row>
    <row r="782" spans="1:8" x14ac:dyDescent="0.25">
      <c r="A782" s="141" t="s">
        <v>1216</v>
      </c>
      <c r="B782" s="80">
        <v>2097</v>
      </c>
      <c r="C782" s="80">
        <v>1088</v>
      </c>
      <c r="D782" s="80">
        <v>49089</v>
      </c>
      <c r="E782" s="167">
        <v>5110</v>
      </c>
      <c r="F782" s="73">
        <v>0.6</v>
      </c>
      <c r="G782">
        <v>408</v>
      </c>
      <c r="H782" s="72">
        <f t="shared" si="12"/>
        <v>0.375</v>
      </c>
    </row>
    <row r="783" spans="1:8" x14ac:dyDescent="0.25">
      <c r="A783" s="141" t="s">
        <v>1738</v>
      </c>
      <c r="B783" s="80">
        <v>1446</v>
      </c>
      <c r="C783" s="80">
        <v>703</v>
      </c>
      <c r="D783" s="80">
        <v>50063</v>
      </c>
      <c r="E783" s="167">
        <v>9226</v>
      </c>
      <c r="F783" s="73">
        <v>7.7</v>
      </c>
      <c r="G783">
        <v>353</v>
      </c>
      <c r="H783" s="72">
        <f t="shared" si="12"/>
        <v>0.50213371266002849</v>
      </c>
    </row>
    <row r="784" spans="1:8" x14ac:dyDescent="0.25">
      <c r="A784" s="141" t="s">
        <v>2366</v>
      </c>
      <c r="B784" s="80">
        <v>105</v>
      </c>
      <c r="C784" s="80">
        <v>56</v>
      </c>
      <c r="D784" s="80">
        <v>62500</v>
      </c>
      <c r="E784" s="167">
        <v>31178</v>
      </c>
      <c r="F784" s="73">
        <v>0</v>
      </c>
      <c r="G784">
        <v>13</v>
      </c>
      <c r="H784" s="72">
        <f t="shared" si="12"/>
        <v>0.23214285714285715</v>
      </c>
    </row>
    <row r="785" spans="1:8" x14ac:dyDescent="0.25">
      <c r="A785" s="141" t="s">
        <v>1843</v>
      </c>
      <c r="B785" s="80">
        <v>6582</v>
      </c>
      <c r="C785" s="80">
        <v>2756</v>
      </c>
      <c r="D785" s="80">
        <v>71958</v>
      </c>
      <c r="E785" s="167">
        <v>8302</v>
      </c>
      <c r="F785" s="73">
        <v>3.2</v>
      </c>
      <c r="G785">
        <v>659</v>
      </c>
      <c r="H785" s="72">
        <f t="shared" si="12"/>
        <v>0.23911465892597969</v>
      </c>
    </row>
    <row r="786" spans="1:8" x14ac:dyDescent="0.25">
      <c r="A786" s="141" t="s">
        <v>1468</v>
      </c>
      <c r="B786" s="80">
        <v>2136</v>
      </c>
      <c r="C786" s="80">
        <v>1340</v>
      </c>
      <c r="D786" s="80">
        <v>48661</v>
      </c>
      <c r="E786" s="167">
        <v>9574</v>
      </c>
      <c r="F786" s="73">
        <v>0.9</v>
      </c>
      <c r="G786">
        <v>265</v>
      </c>
      <c r="H786" s="72">
        <f t="shared" si="12"/>
        <v>0.19776119402985073</v>
      </c>
    </row>
    <row r="787" spans="1:8" x14ac:dyDescent="0.25">
      <c r="A787" s="141" t="s">
        <v>1214</v>
      </c>
      <c r="B787" s="80">
        <v>2395</v>
      </c>
      <c r="C787" s="80">
        <v>1140</v>
      </c>
      <c r="D787" s="80">
        <v>51083</v>
      </c>
      <c r="E787" s="167">
        <v>9847</v>
      </c>
      <c r="F787" s="73">
        <v>4.2</v>
      </c>
      <c r="G787">
        <v>462</v>
      </c>
      <c r="H787" s="72">
        <f t="shared" si="12"/>
        <v>0.40526315789473683</v>
      </c>
    </row>
    <row r="788" spans="1:8" x14ac:dyDescent="0.25">
      <c r="A788" s="141" t="s">
        <v>2367</v>
      </c>
      <c r="B788" s="80">
        <v>106</v>
      </c>
      <c r="C788" s="80">
        <v>49</v>
      </c>
      <c r="D788" s="80">
        <v>29583</v>
      </c>
      <c r="E788" s="167">
        <v>17491</v>
      </c>
      <c r="F788" s="73">
        <v>8.9</v>
      </c>
      <c r="G788">
        <v>70</v>
      </c>
      <c r="H788" s="72">
        <f t="shared" si="12"/>
        <v>1.4285714285714286</v>
      </c>
    </row>
    <row r="789" spans="1:8" x14ac:dyDescent="0.25">
      <c r="A789" s="141" t="s">
        <v>1751</v>
      </c>
      <c r="B789" s="80">
        <v>1960</v>
      </c>
      <c r="C789" s="80">
        <v>656</v>
      </c>
      <c r="D789" s="80">
        <v>70605</v>
      </c>
      <c r="E789" s="167">
        <v>5739</v>
      </c>
      <c r="F789" s="73">
        <v>5.8</v>
      </c>
      <c r="G789">
        <v>408</v>
      </c>
      <c r="H789" s="72">
        <f t="shared" si="12"/>
        <v>0.62195121951219512</v>
      </c>
    </row>
    <row r="790" spans="1:8" x14ac:dyDescent="0.25">
      <c r="A790" s="141" t="s">
        <v>11</v>
      </c>
      <c r="B790" s="80">
        <v>73</v>
      </c>
      <c r="C790" s="80">
        <v>27</v>
      </c>
      <c r="D790" s="80">
        <v>47083</v>
      </c>
      <c r="E790" s="167">
        <v>18488</v>
      </c>
      <c r="F790" s="73">
        <v>12.5</v>
      </c>
      <c r="G790">
        <v>12</v>
      </c>
      <c r="H790" s="72">
        <f t="shared" si="12"/>
        <v>0.44444444444444442</v>
      </c>
    </row>
    <row r="791" spans="1:8" x14ac:dyDescent="0.25">
      <c r="A791" s="141" t="s">
        <v>1218</v>
      </c>
      <c r="B791" s="80">
        <v>2613</v>
      </c>
      <c r="C791" s="80">
        <v>1301</v>
      </c>
      <c r="D791" s="80">
        <v>42261</v>
      </c>
      <c r="E791" s="167">
        <v>7832</v>
      </c>
      <c r="F791" s="73">
        <v>6.2</v>
      </c>
      <c r="G791">
        <v>749</v>
      </c>
      <c r="H791" s="72">
        <f t="shared" si="12"/>
        <v>0.57571099154496541</v>
      </c>
    </row>
    <row r="792" spans="1:8" x14ac:dyDescent="0.25">
      <c r="A792" s="141" t="s">
        <v>1220</v>
      </c>
      <c r="B792" s="80">
        <v>1351</v>
      </c>
      <c r="C792" s="80">
        <v>645</v>
      </c>
      <c r="D792" s="80">
        <v>54722</v>
      </c>
      <c r="E792" s="167">
        <v>5169</v>
      </c>
      <c r="F792" s="73">
        <v>0.9</v>
      </c>
      <c r="G792">
        <v>193</v>
      </c>
      <c r="H792" s="72">
        <f t="shared" si="12"/>
        <v>0.2992248062015504</v>
      </c>
    </row>
    <row r="793" spans="1:8" x14ac:dyDescent="0.25">
      <c r="A793" s="141" t="s">
        <v>1975</v>
      </c>
      <c r="B793" s="80">
        <v>139</v>
      </c>
      <c r="C793" s="80">
        <v>68</v>
      </c>
      <c r="D793" s="80">
        <v>51389</v>
      </c>
      <c r="E793" s="167">
        <v>6774</v>
      </c>
      <c r="F793" s="73">
        <v>0</v>
      </c>
      <c r="G793">
        <v>38</v>
      </c>
      <c r="H793" s="72">
        <f t="shared" si="12"/>
        <v>0.55882352941176472</v>
      </c>
    </row>
    <row r="794" spans="1:8" x14ac:dyDescent="0.25">
      <c r="A794" s="141" t="s">
        <v>1940</v>
      </c>
      <c r="B794" s="80">
        <v>550</v>
      </c>
      <c r="C794" s="80">
        <v>303</v>
      </c>
      <c r="D794" s="80">
        <v>52448</v>
      </c>
      <c r="E794" s="167">
        <v>26063</v>
      </c>
      <c r="F794" s="73">
        <v>0</v>
      </c>
      <c r="G794">
        <v>70</v>
      </c>
      <c r="H794" s="72">
        <f t="shared" si="12"/>
        <v>0.23102310231023102</v>
      </c>
    </row>
    <row r="795" spans="1:8" x14ac:dyDescent="0.25">
      <c r="A795" s="141" t="s">
        <v>1850</v>
      </c>
      <c r="B795" s="80">
        <v>610</v>
      </c>
      <c r="C795" s="80">
        <v>246</v>
      </c>
      <c r="D795" s="80">
        <v>49583</v>
      </c>
      <c r="E795" s="167">
        <v>8070</v>
      </c>
      <c r="F795" s="73">
        <v>5.9</v>
      </c>
      <c r="G795">
        <v>88</v>
      </c>
      <c r="H795" s="72">
        <f t="shared" si="12"/>
        <v>0.35772357723577236</v>
      </c>
    </row>
    <row r="796" spans="1:8" x14ac:dyDescent="0.25">
      <c r="A796" s="141" t="s">
        <v>1508</v>
      </c>
      <c r="B796" s="80">
        <v>6123</v>
      </c>
      <c r="C796" s="80">
        <v>2485</v>
      </c>
      <c r="D796" s="80">
        <v>78312</v>
      </c>
      <c r="E796" s="167">
        <v>9556</v>
      </c>
      <c r="F796" s="73">
        <v>0.6</v>
      </c>
      <c r="G796">
        <v>850</v>
      </c>
      <c r="H796" s="72">
        <f t="shared" si="12"/>
        <v>0.34205231388329982</v>
      </c>
    </row>
    <row r="797" spans="1:8" x14ac:dyDescent="0.25">
      <c r="A797" s="141" t="s">
        <v>1600</v>
      </c>
      <c r="B797" s="80">
        <v>19471</v>
      </c>
      <c r="C797" s="80">
        <v>8085</v>
      </c>
      <c r="D797" s="80">
        <v>91947</v>
      </c>
      <c r="E797" s="167">
        <v>8965</v>
      </c>
      <c r="F797" s="73">
        <v>1.3</v>
      </c>
      <c r="G797">
        <v>1841</v>
      </c>
      <c r="H797" s="72">
        <f t="shared" si="12"/>
        <v>0.22770562770562772</v>
      </c>
    </row>
    <row r="798" spans="1:8" x14ac:dyDescent="0.25">
      <c r="A798" s="141" t="s">
        <v>1913</v>
      </c>
      <c r="B798" s="80">
        <v>839</v>
      </c>
      <c r="C798" s="80">
        <v>333</v>
      </c>
      <c r="D798" s="80">
        <v>66538</v>
      </c>
      <c r="E798" s="167">
        <v>13243</v>
      </c>
      <c r="F798" s="73">
        <v>5.2</v>
      </c>
      <c r="G798">
        <v>85</v>
      </c>
      <c r="H798" s="72">
        <f t="shared" si="12"/>
        <v>0.25525525525525528</v>
      </c>
    </row>
    <row r="799" spans="1:8" x14ac:dyDescent="0.25">
      <c r="A799" s="141" t="s">
        <v>2006</v>
      </c>
      <c r="B799" s="80">
        <v>271</v>
      </c>
      <c r="C799" s="80">
        <v>119</v>
      </c>
      <c r="D799" s="80">
        <v>54792</v>
      </c>
      <c r="E799" s="167">
        <v>24669</v>
      </c>
      <c r="F799" s="73">
        <v>0</v>
      </c>
      <c r="G799">
        <v>73</v>
      </c>
      <c r="H799" s="72">
        <f t="shared" si="12"/>
        <v>0.61344537815126055</v>
      </c>
    </row>
    <row r="800" spans="1:8" x14ac:dyDescent="0.25">
      <c r="A800" s="141" t="s">
        <v>1612</v>
      </c>
      <c r="B800" s="80">
        <v>81</v>
      </c>
      <c r="C800" s="80">
        <v>61</v>
      </c>
      <c r="D800" s="80">
        <v>26250</v>
      </c>
      <c r="E800" s="167">
        <v>7910</v>
      </c>
      <c r="F800" s="73">
        <v>10</v>
      </c>
      <c r="G800">
        <v>26</v>
      </c>
      <c r="H800" s="72">
        <f t="shared" si="12"/>
        <v>0.42622950819672129</v>
      </c>
    </row>
    <row r="801" spans="1:8" x14ac:dyDescent="0.25">
      <c r="A801" s="141" t="s">
        <v>2370</v>
      </c>
      <c r="B801" s="80">
        <v>29</v>
      </c>
      <c r="C801" s="80">
        <v>11</v>
      </c>
      <c r="D801" s="80">
        <v>78250</v>
      </c>
      <c r="E801" s="167">
        <v>32945</v>
      </c>
      <c r="F801" s="73">
        <v>0</v>
      </c>
      <c r="G801">
        <v>0</v>
      </c>
      <c r="H801" s="72">
        <f t="shared" si="12"/>
        <v>0</v>
      </c>
    </row>
    <row r="802" spans="1:8" x14ac:dyDescent="0.25">
      <c r="A802" s="141" t="s">
        <v>1918</v>
      </c>
      <c r="B802" s="80">
        <v>409</v>
      </c>
      <c r="C802" s="80">
        <v>223</v>
      </c>
      <c r="D802" s="80">
        <v>67083</v>
      </c>
      <c r="E802" s="167">
        <v>21875</v>
      </c>
      <c r="F802" s="73">
        <v>2.5</v>
      </c>
      <c r="G802">
        <v>72</v>
      </c>
      <c r="H802" s="72">
        <f t="shared" si="12"/>
        <v>0.32286995515695066</v>
      </c>
    </row>
    <row r="803" spans="1:8" x14ac:dyDescent="0.25">
      <c r="A803" s="141" t="s">
        <v>2371</v>
      </c>
      <c r="B803" s="80">
        <v>66</v>
      </c>
      <c r="C803" s="80">
        <v>50</v>
      </c>
      <c r="D803" s="80">
        <v>38750</v>
      </c>
      <c r="E803" s="167">
        <v>24770</v>
      </c>
      <c r="F803" s="73">
        <v>17.8</v>
      </c>
      <c r="G803">
        <v>18</v>
      </c>
      <c r="H803" s="72">
        <f t="shared" si="12"/>
        <v>0.36</v>
      </c>
    </row>
    <row r="804" spans="1:8" x14ac:dyDescent="0.25">
      <c r="A804" s="141" t="s">
        <v>2372</v>
      </c>
      <c r="B804" s="80">
        <v>525</v>
      </c>
      <c r="C804" s="80">
        <v>190</v>
      </c>
      <c r="D804" s="80">
        <v>250000</v>
      </c>
      <c r="E804" s="167" t="s">
        <v>10</v>
      </c>
      <c r="F804" s="73">
        <v>1.3</v>
      </c>
      <c r="G804">
        <v>21</v>
      </c>
      <c r="H804" s="72">
        <f t="shared" si="12"/>
        <v>0.11052631578947368</v>
      </c>
    </row>
    <row r="805" spans="1:8" x14ac:dyDescent="0.25">
      <c r="A805" s="141" t="s">
        <v>1727</v>
      </c>
      <c r="B805" s="80">
        <v>285</v>
      </c>
      <c r="C805" s="80">
        <v>135</v>
      </c>
      <c r="D805" s="80">
        <v>56667</v>
      </c>
      <c r="E805" s="167">
        <v>15050</v>
      </c>
      <c r="F805" s="73">
        <v>1.9</v>
      </c>
      <c r="G805">
        <v>56</v>
      </c>
      <c r="H805" s="72">
        <f t="shared" si="12"/>
        <v>0.4148148148148148</v>
      </c>
    </row>
    <row r="806" spans="1:8" x14ac:dyDescent="0.25">
      <c r="A806" s="141" t="s">
        <v>1789</v>
      </c>
      <c r="B806" s="80">
        <v>753</v>
      </c>
      <c r="C806" s="80">
        <v>366</v>
      </c>
      <c r="D806" s="80">
        <v>59545</v>
      </c>
      <c r="E806" s="167">
        <v>11943</v>
      </c>
      <c r="F806" s="73">
        <v>6.3</v>
      </c>
      <c r="G806">
        <v>117</v>
      </c>
      <c r="H806" s="72">
        <f t="shared" si="12"/>
        <v>0.31967213114754101</v>
      </c>
    </row>
    <row r="807" spans="1:8" x14ac:dyDescent="0.25">
      <c r="A807" s="141" t="s">
        <v>2373</v>
      </c>
      <c r="B807" s="80">
        <v>101</v>
      </c>
      <c r="C807" s="80">
        <v>51</v>
      </c>
      <c r="D807" s="80">
        <v>41625</v>
      </c>
      <c r="E807" s="167">
        <v>8924</v>
      </c>
      <c r="F807" s="73">
        <v>2</v>
      </c>
      <c r="G807">
        <v>61</v>
      </c>
      <c r="H807" s="72">
        <f t="shared" si="12"/>
        <v>1.196078431372549</v>
      </c>
    </row>
    <row r="808" spans="1:8" x14ac:dyDescent="0.25">
      <c r="A808" s="141" t="s">
        <v>2374</v>
      </c>
      <c r="B808" s="80">
        <v>60</v>
      </c>
      <c r="C808" s="80">
        <v>37</v>
      </c>
      <c r="D808" s="80"/>
      <c r="E808" s="167" t="s">
        <v>0</v>
      </c>
      <c r="F808" s="73">
        <v>0</v>
      </c>
      <c r="G808">
        <v>19</v>
      </c>
      <c r="H808" s="72">
        <f t="shared" si="12"/>
        <v>0.51351351351351349</v>
      </c>
    </row>
    <row r="809" spans="1:8" x14ac:dyDescent="0.25">
      <c r="A809" s="141" t="s">
        <v>1967</v>
      </c>
      <c r="B809" s="80">
        <v>158</v>
      </c>
      <c r="C809" s="80">
        <v>71</v>
      </c>
      <c r="D809" s="80">
        <v>46250</v>
      </c>
      <c r="E809" s="167">
        <v>10296</v>
      </c>
      <c r="F809" s="73">
        <v>0</v>
      </c>
      <c r="G809">
        <v>32</v>
      </c>
      <c r="H809" s="72">
        <f t="shared" si="12"/>
        <v>0.45070422535211269</v>
      </c>
    </row>
    <row r="810" spans="1:8" x14ac:dyDescent="0.25">
      <c r="A810" s="141" t="s">
        <v>1601</v>
      </c>
      <c r="B810" s="80">
        <v>1166</v>
      </c>
      <c r="C810" s="80">
        <v>576</v>
      </c>
      <c r="D810" s="80">
        <v>57353</v>
      </c>
      <c r="E810" s="167">
        <v>8536</v>
      </c>
      <c r="F810" s="73">
        <v>1.9</v>
      </c>
      <c r="G810">
        <v>186</v>
      </c>
      <c r="H810" s="72">
        <f t="shared" si="12"/>
        <v>0.32291666666666669</v>
      </c>
    </row>
    <row r="811" spans="1:8" x14ac:dyDescent="0.25">
      <c r="A811" s="141" t="s">
        <v>2375</v>
      </c>
      <c r="B811" s="80">
        <v>190</v>
      </c>
      <c r="C811" s="80">
        <v>136</v>
      </c>
      <c r="D811" s="80">
        <v>40000</v>
      </c>
      <c r="E811" s="167">
        <v>17337</v>
      </c>
      <c r="F811" s="73">
        <v>11.9</v>
      </c>
      <c r="G811">
        <v>54</v>
      </c>
      <c r="H811" s="72">
        <f t="shared" si="12"/>
        <v>0.39705882352941174</v>
      </c>
    </row>
    <row r="812" spans="1:8" x14ac:dyDescent="0.25">
      <c r="A812" s="141" t="s">
        <v>9</v>
      </c>
      <c r="B812" s="80">
        <v>661</v>
      </c>
      <c r="C812" s="80">
        <v>826</v>
      </c>
      <c r="D812" s="80">
        <v>86000</v>
      </c>
      <c r="E812" s="167">
        <v>24475</v>
      </c>
      <c r="F812" s="73">
        <v>3.5</v>
      </c>
      <c r="G812">
        <v>44</v>
      </c>
      <c r="H812" s="72">
        <f t="shared" si="12"/>
        <v>5.3268765133171914E-2</v>
      </c>
    </row>
    <row r="813" spans="1:8" x14ac:dyDescent="0.25">
      <c r="A813" s="141" t="s">
        <v>8</v>
      </c>
      <c r="B813" s="80">
        <v>3</v>
      </c>
      <c r="C813" s="80">
        <v>3</v>
      </c>
      <c r="D813" s="80"/>
      <c r="E813" s="167" t="s">
        <v>0</v>
      </c>
      <c r="F813" s="73" t="s">
        <v>1</v>
      </c>
      <c r="G813">
        <v>1</v>
      </c>
      <c r="H813" s="72">
        <f t="shared" si="12"/>
        <v>0.33333333333333331</v>
      </c>
    </row>
    <row r="814" spans="1:8" x14ac:dyDescent="0.25">
      <c r="A814" s="141" t="s">
        <v>1222</v>
      </c>
      <c r="B814" s="80">
        <v>8792</v>
      </c>
      <c r="C814" s="80">
        <v>4438</v>
      </c>
      <c r="D814" s="80">
        <v>52168</v>
      </c>
      <c r="E814" s="167">
        <v>2975</v>
      </c>
      <c r="F814" s="73">
        <v>2.8</v>
      </c>
      <c r="G814">
        <v>1892</v>
      </c>
      <c r="H814" s="72">
        <f t="shared" si="12"/>
        <v>0.42631816133393419</v>
      </c>
    </row>
    <row r="815" spans="1:8" x14ac:dyDescent="0.25">
      <c r="A815" s="141" t="s">
        <v>1927</v>
      </c>
      <c r="B815" s="80">
        <v>57</v>
      </c>
      <c r="C815" s="80">
        <v>31</v>
      </c>
      <c r="D815" s="80">
        <v>32292</v>
      </c>
      <c r="E815" s="167">
        <v>6376</v>
      </c>
      <c r="F815" s="73">
        <v>0</v>
      </c>
      <c r="G815">
        <v>10</v>
      </c>
      <c r="H815" s="72">
        <f t="shared" si="12"/>
        <v>0.32258064516129031</v>
      </c>
    </row>
    <row r="816" spans="1:8" x14ac:dyDescent="0.25">
      <c r="A816" s="141" t="s">
        <v>1456</v>
      </c>
      <c r="B816" s="80">
        <v>1466</v>
      </c>
      <c r="C816" s="80">
        <v>642</v>
      </c>
      <c r="D816" s="80">
        <v>135167</v>
      </c>
      <c r="E816" s="167">
        <v>13390</v>
      </c>
      <c r="F816" s="73">
        <v>7.8</v>
      </c>
      <c r="G816">
        <v>129</v>
      </c>
      <c r="H816" s="72">
        <f t="shared" si="12"/>
        <v>0.20093457943925233</v>
      </c>
    </row>
    <row r="817" spans="1:8" x14ac:dyDescent="0.25">
      <c r="A817" s="141" t="s">
        <v>2019</v>
      </c>
      <c r="B817" s="80">
        <v>457</v>
      </c>
      <c r="C817" s="80">
        <v>353</v>
      </c>
      <c r="D817" s="80">
        <v>51310</v>
      </c>
      <c r="E817" s="167">
        <v>12467</v>
      </c>
      <c r="F817" s="73">
        <v>3.9</v>
      </c>
      <c r="G817">
        <v>107</v>
      </c>
      <c r="H817" s="72">
        <f t="shared" si="12"/>
        <v>0.30311614730878189</v>
      </c>
    </row>
    <row r="818" spans="1:8" x14ac:dyDescent="0.25">
      <c r="A818" s="141" t="s">
        <v>1654</v>
      </c>
      <c r="B818" s="80">
        <v>2180</v>
      </c>
      <c r="C818" s="80">
        <v>965</v>
      </c>
      <c r="D818" s="80">
        <v>54844</v>
      </c>
      <c r="E818" s="167">
        <v>8160</v>
      </c>
      <c r="F818" s="73">
        <v>5.6</v>
      </c>
      <c r="G818">
        <v>537</v>
      </c>
      <c r="H818" s="72">
        <f t="shared" si="12"/>
        <v>0.55647668393782379</v>
      </c>
    </row>
    <row r="819" spans="1:8" x14ac:dyDescent="0.25">
      <c r="A819" s="141" t="s">
        <v>2376</v>
      </c>
      <c r="B819" s="80">
        <v>48</v>
      </c>
      <c r="C819" s="80">
        <v>22</v>
      </c>
      <c r="D819" s="80">
        <v>27500</v>
      </c>
      <c r="E819" s="167">
        <v>9130</v>
      </c>
      <c r="F819" s="73">
        <v>0</v>
      </c>
      <c r="G819">
        <v>38</v>
      </c>
      <c r="H819" s="72">
        <f t="shared" si="12"/>
        <v>1.7272727272727273</v>
      </c>
    </row>
    <row r="820" spans="1:8" x14ac:dyDescent="0.25">
      <c r="A820" s="141" t="s">
        <v>1224</v>
      </c>
      <c r="B820" s="80">
        <v>758</v>
      </c>
      <c r="C820" s="80">
        <v>336</v>
      </c>
      <c r="D820" s="80">
        <v>56000</v>
      </c>
      <c r="E820" s="167">
        <v>6662</v>
      </c>
      <c r="F820" s="73">
        <v>3.1</v>
      </c>
      <c r="G820">
        <v>127</v>
      </c>
      <c r="H820" s="72">
        <f t="shared" si="12"/>
        <v>0.37797619047619047</v>
      </c>
    </row>
    <row r="821" spans="1:8" x14ac:dyDescent="0.25">
      <c r="A821" s="141" t="s">
        <v>1993</v>
      </c>
      <c r="B821" s="80">
        <v>94</v>
      </c>
      <c r="C821" s="80">
        <v>59</v>
      </c>
      <c r="D821" s="80">
        <v>44375</v>
      </c>
      <c r="E821" s="167">
        <v>6027</v>
      </c>
      <c r="F821" s="73">
        <v>34.4</v>
      </c>
      <c r="G821">
        <v>33</v>
      </c>
      <c r="H821" s="72">
        <f t="shared" si="12"/>
        <v>0.55932203389830504</v>
      </c>
    </row>
    <row r="822" spans="1:8" x14ac:dyDescent="0.25">
      <c r="A822" s="141" t="s">
        <v>1938</v>
      </c>
      <c r="B822" s="80">
        <v>73</v>
      </c>
      <c r="C822" s="80">
        <v>37</v>
      </c>
      <c r="D822" s="80">
        <v>51250</v>
      </c>
      <c r="E822" s="167">
        <v>16357</v>
      </c>
      <c r="F822" s="73">
        <v>2</v>
      </c>
      <c r="G822">
        <v>16</v>
      </c>
      <c r="H822" s="72">
        <f t="shared" si="12"/>
        <v>0.43243243243243246</v>
      </c>
    </row>
    <row r="823" spans="1:8" x14ac:dyDescent="0.25">
      <c r="A823" s="141" t="s">
        <v>1226</v>
      </c>
      <c r="B823" s="80">
        <v>1083</v>
      </c>
      <c r="C823" s="80">
        <v>526</v>
      </c>
      <c r="D823" s="80">
        <v>52368</v>
      </c>
      <c r="E823" s="167">
        <v>9902</v>
      </c>
      <c r="F823" s="73">
        <v>1.9</v>
      </c>
      <c r="G823">
        <v>176</v>
      </c>
      <c r="H823" s="72">
        <f t="shared" si="12"/>
        <v>0.33460076045627374</v>
      </c>
    </row>
    <row r="824" spans="1:8" x14ac:dyDescent="0.25">
      <c r="A824" s="141" t="s">
        <v>2377</v>
      </c>
      <c r="B824" s="80">
        <v>85</v>
      </c>
      <c r="C824" s="80">
        <v>54</v>
      </c>
      <c r="D824" s="80">
        <v>47083</v>
      </c>
      <c r="E824" s="167">
        <v>37426</v>
      </c>
      <c r="F824" s="73">
        <v>0</v>
      </c>
      <c r="G824">
        <v>20</v>
      </c>
      <c r="H824" s="72">
        <f t="shared" si="12"/>
        <v>0.37037037037037035</v>
      </c>
    </row>
    <row r="825" spans="1:8" x14ac:dyDescent="0.25">
      <c r="A825" s="141" t="s">
        <v>1936</v>
      </c>
      <c r="B825" s="80">
        <v>210</v>
      </c>
      <c r="C825" s="80">
        <v>104</v>
      </c>
      <c r="D825" s="80">
        <v>36964</v>
      </c>
      <c r="E825" s="167">
        <v>12873</v>
      </c>
      <c r="F825" s="73">
        <v>4.0999999999999996</v>
      </c>
      <c r="G825">
        <v>68</v>
      </c>
      <c r="H825" s="72">
        <f t="shared" si="12"/>
        <v>0.65384615384615385</v>
      </c>
    </row>
    <row r="826" spans="1:8" x14ac:dyDescent="0.25">
      <c r="A826" s="141" t="s">
        <v>7</v>
      </c>
      <c r="B826" s="80">
        <v>249</v>
      </c>
      <c r="C826" s="80">
        <v>208</v>
      </c>
      <c r="D826" s="80">
        <v>54375</v>
      </c>
      <c r="E826" s="167">
        <v>9124</v>
      </c>
      <c r="F826" s="73">
        <v>6.2</v>
      </c>
      <c r="G826">
        <v>91</v>
      </c>
      <c r="H826" s="72">
        <f t="shared" si="12"/>
        <v>0.4375</v>
      </c>
    </row>
    <row r="827" spans="1:8" x14ac:dyDescent="0.25">
      <c r="A827" s="141" t="s">
        <v>1495</v>
      </c>
      <c r="B827" s="80">
        <v>747</v>
      </c>
      <c r="C827" s="80">
        <v>416</v>
      </c>
      <c r="D827" s="80">
        <v>46304</v>
      </c>
      <c r="E827" s="167">
        <v>5354</v>
      </c>
      <c r="F827" s="73">
        <v>12.3</v>
      </c>
      <c r="G827">
        <v>194</v>
      </c>
      <c r="H827" s="72">
        <f t="shared" si="12"/>
        <v>0.46634615384615385</v>
      </c>
    </row>
    <row r="828" spans="1:8" x14ac:dyDescent="0.25">
      <c r="A828" s="141" t="s">
        <v>1794</v>
      </c>
      <c r="B828" s="80">
        <v>3511</v>
      </c>
      <c r="C828" s="80">
        <v>1826</v>
      </c>
      <c r="D828" s="80">
        <v>58151</v>
      </c>
      <c r="E828" s="167">
        <v>10131</v>
      </c>
      <c r="F828" s="73">
        <v>2.2000000000000002</v>
      </c>
      <c r="G828">
        <v>764</v>
      </c>
      <c r="H828" s="72">
        <f t="shared" si="12"/>
        <v>0.41840087623220151</v>
      </c>
    </row>
    <row r="829" spans="1:8" x14ac:dyDescent="0.25">
      <c r="A829" s="141" t="s">
        <v>1945</v>
      </c>
      <c r="B829" s="80">
        <v>1289</v>
      </c>
      <c r="C829" s="80">
        <v>593</v>
      </c>
      <c r="D829" s="80">
        <v>44828</v>
      </c>
      <c r="E829" s="167">
        <v>5408</v>
      </c>
      <c r="F829" s="73">
        <v>3.3</v>
      </c>
      <c r="G829">
        <v>334</v>
      </c>
      <c r="H829" s="72">
        <f t="shared" si="12"/>
        <v>0.56323777403035413</v>
      </c>
    </row>
    <row r="830" spans="1:8" x14ac:dyDescent="0.25">
      <c r="A830" s="141" t="s">
        <v>1889</v>
      </c>
      <c r="B830" s="80">
        <v>417</v>
      </c>
      <c r="C830" s="80">
        <v>241</v>
      </c>
      <c r="D830" s="80">
        <v>32024</v>
      </c>
      <c r="E830" s="167">
        <v>11642</v>
      </c>
      <c r="F830" s="73">
        <v>1.8</v>
      </c>
      <c r="G830">
        <v>103</v>
      </c>
      <c r="H830" s="72">
        <f t="shared" si="12"/>
        <v>0.42738589211618255</v>
      </c>
    </row>
    <row r="831" spans="1:8" x14ac:dyDescent="0.25">
      <c r="A831" s="141" t="s">
        <v>1702</v>
      </c>
      <c r="B831" s="80">
        <v>389</v>
      </c>
      <c r="C831" s="80">
        <v>188</v>
      </c>
      <c r="D831" s="80">
        <v>55000</v>
      </c>
      <c r="E831" s="167">
        <v>20467</v>
      </c>
      <c r="F831" s="73">
        <v>6.3</v>
      </c>
      <c r="G831">
        <v>62</v>
      </c>
      <c r="H831" s="72">
        <f t="shared" si="12"/>
        <v>0.32978723404255317</v>
      </c>
    </row>
    <row r="832" spans="1:8" x14ac:dyDescent="0.25">
      <c r="A832" s="141" t="s">
        <v>1686</v>
      </c>
      <c r="B832" s="80">
        <v>473</v>
      </c>
      <c r="C832" s="80">
        <v>217</v>
      </c>
      <c r="D832" s="80">
        <v>44375</v>
      </c>
      <c r="E832" s="167">
        <v>17573</v>
      </c>
      <c r="F832" s="73">
        <v>7.3</v>
      </c>
      <c r="G832">
        <v>122</v>
      </c>
      <c r="H832" s="72">
        <f t="shared" si="12"/>
        <v>0.56221198156682028</v>
      </c>
    </row>
    <row r="833" spans="1:8" x14ac:dyDescent="0.25">
      <c r="A833" s="141" t="s">
        <v>2378</v>
      </c>
      <c r="B833" s="80">
        <v>52</v>
      </c>
      <c r="C833" s="80">
        <v>32</v>
      </c>
      <c r="D833" s="80">
        <v>59375</v>
      </c>
      <c r="E833" s="167">
        <v>19343</v>
      </c>
      <c r="F833" s="73">
        <v>0</v>
      </c>
      <c r="G833">
        <v>1</v>
      </c>
      <c r="H833" s="72">
        <f t="shared" si="12"/>
        <v>3.125E-2</v>
      </c>
    </row>
    <row r="834" spans="1:8" x14ac:dyDescent="0.25">
      <c r="A834" s="141" t="s">
        <v>1517</v>
      </c>
      <c r="B834" s="80">
        <v>254</v>
      </c>
      <c r="C834" s="80">
        <v>87</v>
      </c>
      <c r="D834" s="80">
        <v>71750</v>
      </c>
      <c r="E834" s="167">
        <v>11156</v>
      </c>
      <c r="F834" s="73">
        <v>5.8</v>
      </c>
      <c r="G834">
        <v>43</v>
      </c>
      <c r="H834" s="72">
        <f t="shared" ref="H834:H897" si="13">G834/C834</f>
        <v>0.4942528735632184</v>
      </c>
    </row>
    <row r="835" spans="1:8" x14ac:dyDescent="0.25">
      <c r="A835" s="141" t="s">
        <v>1520</v>
      </c>
      <c r="B835" s="80">
        <v>13565</v>
      </c>
      <c r="C835" s="80">
        <v>5935</v>
      </c>
      <c r="D835" s="80">
        <v>81643</v>
      </c>
      <c r="E835" s="167">
        <v>12408</v>
      </c>
      <c r="F835" s="73">
        <v>4.4000000000000004</v>
      </c>
      <c r="G835">
        <v>1890</v>
      </c>
      <c r="H835" s="72">
        <f t="shared" si="13"/>
        <v>0.31844987363100252</v>
      </c>
    </row>
    <row r="836" spans="1:8" x14ac:dyDescent="0.25">
      <c r="A836" s="141" t="s">
        <v>1620</v>
      </c>
      <c r="B836" s="80">
        <v>315</v>
      </c>
      <c r="C836" s="80">
        <v>192</v>
      </c>
      <c r="D836" s="80">
        <v>56250</v>
      </c>
      <c r="E836" s="167">
        <v>14709</v>
      </c>
      <c r="F836" s="73">
        <v>2</v>
      </c>
      <c r="G836">
        <v>47</v>
      </c>
      <c r="H836" s="72">
        <f t="shared" si="13"/>
        <v>0.24479166666666666</v>
      </c>
    </row>
    <row r="837" spans="1:8" x14ac:dyDescent="0.25">
      <c r="A837" s="141" t="s">
        <v>1691</v>
      </c>
      <c r="B837" s="80">
        <v>484</v>
      </c>
      <c r="C837" s="80">
        <v>187</v>
      </c>
      <c r="D837" s="80">
        <v>80000</v>
      </c>
      <c r="E837" s="167">
        <v>21084</v>
      </c>
      <c r="F837" s="73">
        <v>2</v>
      </c>
      <c r="G837">
        <v>30</v>
      </c>
      <c r="H837" s="72">
        <f t="shared" si="13"/>
        <v>0.16042780748663102</v>
      </c>
    </row>
    <row r="838" spans="1:8" x14ac:dyDescent="0.25">
      <c r="A838" s="141" t="s">
        <v>1934</v>
      </c>
      <c r="B838" s="80">
        <v>477</v>
      </c>
      <c r="C838" s="80">
        <v>261</v>
      </c>
      <c r="D838" s="80">
        <v>38958</v>
      </c>
      <c r="E838" s="167">
        <v>10524</v>
      </c>
      <c r="F838" s="73">
        <v>3.2</v>
      </c>
      <c r="G838">
        <v>147</v>
      </c>
      <c r="H838" s="72">
        <f t="shared" si="13"/>
        <v>0.56321839080459768</v>
      </c>
    </row>
    <row r="839" spans="1:8" x14ac:dyDescent="0.25">
      <c r="A839" s="141" t="s">
        <v>1482</v>
      </c>
      <c r="B839" s="80">
        <v>355</v>
      </c>
      <c r="C839" s="80">
        <v>163</v>
      </c>
      <c r="D839" s="80">
        <v>52250</v>
      </c>
      <c r="E839" s="167">
        <v>8196</v>
      </c>
      <c r="F839" s="73">
        <v>0.9</v>
      </c>
      <c r="G839">
        <v>40</v>
      </c>
      <c r="H839" s="72">
        <f t="shared" si="13"/>
        <v>0.24539877300613497</v>
      </c>
    </row>
    <row r="840" spans="1:8" x14ac:dyDescent="0.25">
      <c r="A840" s="141" t="s">
        <v>2004</v>
      </c>
      <c r="B840" s="80">
        <v>293</v>
      </c>
      <c r="C840" s="80">
        <v>133</v>
      </c>
      <c r="D840" s="80">
        <v>55833</v>
      </c>
      <c r="E840" s="167">
        <v>14551</v>
      </c>
      <c r="F840" s="73">
        <v>5.6</v>
      </c>
      <c r="G840">
        <v>17</v>
      </c>
      <c r="H840" s="72">
        <f t="shared" si="13"/>
        <v>0.12781954887218044</v>
      </c>
    </row>
    <row r="841" spans="1:8" x14ac:dyDescent="0.25">
      <c r="A841" s="141" t="s">
        <v>1841</v>
      </c>
      <c r="B841" s="80">
        <v>9787</v>
      </c>
      <c r="C841" s="80">
        <v>3455</v>
      </c>
      <c r="D841" s="80">
        <v>166477</v>
      </c>
      <c r="E841" s="167">
        <v>19527</v>
      </c>
      <c r="F841" s="73">
        <v>4.0999999999999996</v>
      </c>
      <c r="G841">
        <v>478</v>
      </c>
      <c r="H841" s="72">
        <f t="shared" si="13"/>
        <v>0.13835021707670042</v>
      </c>
    </row>
    <row r="842" spans="1:8" x14ac:dyDescent="0.25">
      <c r="A842" s="141" t="s">
        <v>2022</v>
      </c>
      <c r="B842" s="80">
        <v>133</v>
      </c>
      <c r="C842" s="80">
        <v>67</v>
      </c>
      <c r="D842" s="80">
        <v>50469</v>
      </c>
      <c r="E842" s="167">
        <v>27643</v>
      </c>
      <c r="F842" s="73">
        <v>0</v>
      </c>
      <c r="G842">
        <v>33</v>
      </c>
      <c r="H842" s="72">
        <f t="shared" si="13"/>
        <v>0.4925373134328358</v>
      </c>
    </row>
    <row r="843" spans="1:8" x14ac:dyDescent="0.25">
      <c r="A843" s="141" t="s">
        <v>2379</v>
      </c>
      <c r="B843" s="80">
        <v>316</v>
      </c>
      <c r="C843" s="80">
        <v>163</v>
      </c>
      <c r="D843" s="80">
        <v>43750</v>
      </c>
      <c r="E843" s="167">
        <v>6160</v>
      </c>
      <c r="F843" s="73">
        <v>1.3</v>
      </c>
      <c r="G843">
        <v>83</v>
      </c>
      <c r="H843" s="72">
        <f t="shared" si="13"/>
        <v>0.50920245398773001</v>
      </c>
    </row>
    <row r="844" spans="1:8" x14ac:dyDescent="0.25">
      <c r="A844" s="141" t="s">
        <v>6</v>
      </c>
      <c r="B844" s="80">
        <v>726</v>
      </c>
      <c r="C844" s="80">
        <v>306</v>
      </c>
      <c r="D844" s="80">
        <v>43500</v>
      </c>
      <c r="E844" s="167">
        <v>20790</v>
      </c>
      <c r="F844" s="73">
        <v>28.9</v>
      </c>
      <c r="G844">
        <v>302</v>
      </c>
      <c r="H844" s="72">
        <f t="shared" si="13"/>
        <v>0.98692810457516345</v>
      </c>
    </row>
    <row r="845" spans="1:8" x14ac:dyDescent="0.25">
      <c r="A845" s="141" t="s">
        <v>2380</v>
      </c>
      <c r="B845" s="80">
        <v>41</v>
      </c>
      <c r="C845" s="80">
        <v>27</v>
      </c>
      <c r="D845" s="80">
        <v>42500</v>
      </c>
      <c r="E845" s="167">
        <v>17626</v>
      </c>
      <c r="F845" s="73">
        <v>0</v>
      </c>
      <c r="G845">
        <v>11</v>
      </c>
      <c r="H845" s="72">
        <f t="shared" si="13"/>
        <v>0.40740740740740738</v>
      </c>
    </row>
    <row r="846" spans="1:8" x14ac:dyDescent="0.25">
      <c r="A846" s="141" t="s">
        <v>1228</v>
      </c>
      <c r="B846" s="80">
        <v>8421</v>
      </c>
      <c r="C846" s="80">
        <v>4890</v>
      </c>
      <c r="D846" s="80">
        <v>41576</v>
      </c>
      <c r="E846" s="167">
        <v>3848</v>
      </c>
      <c r="F846" s="73">
        <v>6.7</v>
      </c>
      <c r="G846">
        <v>2643</v>
      </c>
      <c r="H846" s="72">
        <f t="shared" si="13"/>
        <v>0.54049079754601226</v>
      </c>
    </row>
    <row r="847" spans="1:8" x14ac:dyDescent="0.25">
      <c r="A847" s="141" t="s">
        <v>1573</v>
      </c>
      <c r="B847" s="80">
        <v>2655</v>
      </c>
      <c r="C847" s="80">
        <v>1409</v>
      </c>
      <c r="D847" s="80">
        <v>53996</v>
      </c>
      <c r="E847" s="167">
        <v>4012</v>
      </c>
      <c r="F847" s="73">
        <v>7.2</v>
      </c>
      <c r="G847">
        <v>431</v>
      </c>
      <c r="H847" s="72">
        <f t="shared" si="13"/>
        <v>0.3058907026259759</v>
      </c>
    </row>
    <row r="848" spans="1:8" x14ac:dyDescent="0.25">
      <c r="A848" s="141" t="s">
        <v>1230</v>
      </c>
      <c r="B848" s="80">
        <v>738</v>
      </c>
      <c r="C848" s="80">
        <v>350</v>
      </c>
      <c r="D848" s="80">
        <v>51125</v>
      </c>
      <c r="E848" s="167">
        <v>9675</v>
      </c>
      <c r="F848" s="73">
        <v>2.9</v>
      </c>
      <c r="G848">
        <v>113</v>
      </c>
      <c r="H848" s="72">
        <f t="shared" si="13"/>
        <v>0.32285714285714284</v>
      </c>
    </row>
    <row r="849" spans="1:8" x14ac:dyDescent="0.25">
      <c r="A849" s="141" t="s">
        <v>1623</v>
      </c>
      <c r="B849" s="80">
        <v>12281</v>
      </c>
      <c r="C849" s="80">
        <v>4633</v>
      </c>
      <c r="D849" s="80">
        <v>100583</v>
      </c>
      <c r="E849" s="167">
        <v>8504</v>
      </c>
      <c r="F849" s="73">
        <v>2.1</v>
      </c>
      <c r="G849">
        <v>629</v>
      </c>
      <c r="H849" s="72">
        <f t="shared" si="13"/>
        <v>0.13576516296136412</v>
      </c>
    </row>
    <row r="850" spans="1:8" x14ac:dyDescent="0.25">
      <c r="A850" s="141" t="s">
        <v>1232</v>
      </c>
      <c r="B850" s="80">
        <v>4145</v>
      </c>
      <c r="C850" s="80">
        <v>2115</v>
      </c>
      <c r="D850" s="80">
        <v>38582</v>
      </c>
      <c r="E850" s="167">
        <v>4088</v>
      </c>
      <c r="F850" s="73">
        <v>14.2</v>
      </c>
      <c r="G850">
        <v>1512</v>
      </c>
      <c r="H850" s="72">
        <f t="shared" si="13"/>
        <v>0.71489361702127663</v>
      </c>
    </row>
    <row r="851" spans="1:8" x14ac:dyDescent="0.25">
      <c r="A851" s="141" t="s">
        <v>2381</v>
      </c>
      <c r="B851" s="80">
        <v>284</v>
      </c>
      <c r="C851" s="80">
        <v>220</v>
      </c>
      <c r="D851" s="80">
        <v>41538</v>
      </c>
      <c r="E851" s="167">
        <v>10539</v>
      </c>
      <c r="F851" s="73">
        <v>11.3</v>
      </c>
      <c r="G851">
        <v>64</v>
      </c>
      <c r="H851" s="72">
        <f t="shared" si="13"/>
        <v>0.29090909090909089</v>
      </c>
    </row>
    <row r="852" spans="1:8" x14ac:dyDescent="0.25">
      <c r="A852" s="141" t="s">
        <v>1558</v>
      </c>
      <c r="B852" s="80">
        <v>7719</v>
      </c>
      <c r="C852" s="80">
        <v>3630</v>
      </c>
      <c r="D852" s="80">
        <v>43867</v>
      </c>
      <c r="E852" s="167">
        <v>6406</v>
      </c>
      <c r="F852" s="73">
        <v>4.2</v>
      </c>
      <c r="G852">
        <v>2491</v>
      </c>
      <c r="H852" s="72">
        <f t="shared" si="13"/>
        <v>0.68622589531680445</v>
      </c>
    </row>
    <row r="853" spans="1:8" x14ac:dyDescent="0.25">
      <c r="A853" s="141" t="s">
        <v>1234</v>
      </c>
      <c r="B853" s="80">
        <v>180</v>
      </c>
      <c r="C853" s="80">
        <v>92</v>
      </c>
      <c r="D853" s="80">
        <v>43125</v>
      </c>
      <c r="E853" s="167">
        <v>7829</v>
      </c>
      <c r="F853" s="73">
        <v>0</v>
      </c>
      <c r="G853">
        <v>47</v>
      </c>
      <c r="H853" s="72">
        <f t="shared" si="13"/>
        <v>0.51086956521739135</v>
      </c>
    </row>
    <row r="854" spans="1:8" x14ac:dyDescent="0.25">
      <c r="A854" s="141" t="s">
        <v>1759</v>
      </c>
      <c r="B854" s="80">
        <v>890</v>
      </c>
      <c r="C854" s="80">
        <v>609</v>
      </c>
      <c r="D854" s="80">
        <v>42955</v>
      </c>
      <c r="E854" s="167">
        <v>12214</v>
      </c>
      <c r="F854" s="73">
        <v>2.1</v>
      </c>
      <c r="G854">
        <v>294</v>
      </c>
      <c r="H854" s="72">
        <f t="shared" si="13"/>
        <v>0.48275862068965519</v>
      </c>
    </row>
    <row r="855" spans="1:8" x14ac:dyDescent="0.25">
      <c r="A855" s="141" t="s">
        <v>1236</v>
      </c>
      <c r="B855" s="80">
        <v>719</v>
      </c>
      <c r="C855" s="80">
        <v>379</v>
      </c>
      <c r="D855" s="80">
        <v>54485</v>
      </c>
      <c r="E855" s="167">
        <v>2695</v>
      </c>
      <c r="F855" s="73">
        <v>2.7</v>
      </c>
      <c r="G855">
        <v>244</v>
      </c>
      <c r="H855" s="72">
        <f t="shared" si="13"/>
        <v>0.64379947229551449</v>
      </c>
    </row>
    <row r="856" spans="1:8" x14ac:dyDescent="0.25">
      <c r="A856" s="141" t="s">
        <v>2012</v>
      </c>
      <c r="B856" s="80">
        <v>65</v>
      </c>
      <c r="C856" s="80">
        <v>30</v>
      </c>
      <c r="D856" s="80">
        <v>24500</v>
      </c>
      <c r="E856" s="167">
        <v>9829</v>
      </c>
      <c r="F856" s="73">
        <v>20</v>
      </c>
      <c r="G856">
        <v>43</v>
      </c>
      <c r="H856" s="72">
        <f t="shared" si="13"/>
        <v>1.4333333333333333</v>
      </c>
    </row>
    <row r="857" spans="1:8" x14ac:dyDescent="0.25">
      <c r="A857" s="141" t="s">
        <v>1921</v>
      </c>
      <c r="B857" s="80">
        <v>168</v>
      </c>
      <c r="C857" s="80">
        <v>69</v>
      </c>
      <c r="D857" s="80">
        <v>61250</v>
      </c>
      <c r="E857" s="167">
        <v>23231</v>
      </c>
      <c r="F857" s="73">
        <v>4.0999999999999996</v>
      </c>
      <c r="G857">
        <v>44</v>
      </c>
      <c r="H857" s="72">
        <f t="shared" si="13"/>
        <v>0.6376811594202898</v>
      </c>
    </row>
    <row r="858" spans="1:8" x14ac:dyDescent="0.25">
      <c r="A858" s="141" t="s">
        <v>1693</v>
      </c>
      <c r="B858" s="80">
        <v>1117</v>
      </c>
      <c r="C858" s="80">
        <v>513</v>
      </c>
      <c r="D858" s="80">
        <v>61094</v>
      </c>
      <c r="E858" s="167">
        <v>10146</v>
      </c>
      <c r="F858" s="73">
        <v>2.4</v>
      </c>
      <c r="G858">
        <v>186</v>
      </c>
      <c r="H858" s="72">
        <f t="shared" si="13"/>
        <v>0.36257309941520466</v>
      </c>
    </row>
    <row r="859" spans="1:8" x14ac:dyDescent="0.25">
      <c r="A859" s="141" t="s">
        <v>1655</v>
      </c>
      <c r="B859" s="80">
        <v>94</v>
      </c>
      <c r="C859" s="80">
        <v>61</v>
      </c>
      <c r="D859" s="80">
        <v>67188</v>
      </c>
      <c r="E859" s="167">
        <v>4971</v>
      </c>
      <c r="F859" s="73">
        <v>0</v>
      </c>
      <c r="G859">
        <v>5</v>
      </c>
      <c r="H859" s="72">
        <f t="shared" si="13"/>
        <v>8.1967213114754092E-2</v>
      </c>
    </row>
    <row r="860" spans="1:8" x14ac:dyDescent="0.25">
      <c r="A860" s="141" t="s">
        <v>1790</v>
      </c>
      <c r="B860" s="80">
        <v>184</v>
      </c>
      <c r="C860" s="80">
        <v>91</v>
      </c>
      <c r="D860" s="80">
        <v>42500</v>
      </c>
      <c r="E860" s="167">
        <v>14945</v>
      </c>
      <c r="F860" s="73">
        <v>0</v>
      </c>
      <c r="G860">
        <v>33</v>
      </c>
      <c r="H860" s="72">
        <f t="shared" si="13"/>
        <v>0.36263736263736263</v>
      </c>
    </row>
    <row r="861" spans="1:8" x14ac:dyDescent="0.25">
      <c r="A861" s="141" t="s">
        <v>1709</v>
      </c>
      <c r="B861" s="80">
        <v>1601</v>
      </c>
      <c r="C861" s="80">
        <v>819</v>
      </c>
      <c r="D861" s="80">
        <v>53158</v>
      </c>
      <c r="E861" s="167">
        <v>5686</v>
      </c>
      <c r="F861" s="73">
        <v>3.1</v>
      </c>
      <c r="G861">
        <v>322</v>
      </c>
      <c r="H861" s="72">
        <f t="shared" si="13"/>
        <v>0.39316239316239315</v>
      </c>
    </row>
    <row r="862" spans="1:8" x14ac:dyDescent="0.25">
      <c r="A862" s="141" t="s">
        <v>1611</v>
      </c>
      <c r="B862" s="80">
        <v>2051</v>
      </c>
      <c r="C862" s="80">
        <v>911</v>
      </c>
      <c r="D862" s="80">
        <v>51190</v>
      </c>
      <c r="E862" s="167">
        <v>14658</v>
      </c>
      <c r="F862" s="73">
        <v>6.8</v>
      </c>
      <c r="G862">
        <v>559</v>
      </c>
      <c r="H862" s="72">
        <f t="shared" si="13"/>
        <v>0.61361141602634472</v>
      </c>
    </row>
    <row r="863" spans="1:8" x14ac:dyDescent="0.25">
      <c r="A863" s="141" t="s">
        <v>5</v>
      </c>
      <c r="B863" s="80">
        <v>925</v>
      </c>
      <c r="C863" s="80">
        <v>412</v>
      </c>
      <c r="D863" s="80">
        <v>106705</v>
      </c>
      <c r="E863" s="167">
        <v>17213</v>
      </c>
      <c r="F863" s="73">
        <v>4.8</v>
      </c>
      <c r="G863">
        <v>93</v>
      </c>
      <c r="H863" s="72">
        <f t="shared" si="13"/>
        <v>0.22572815533980584</v>
      </c>
    </row>
    <row r="864" spans="1:8" x14ac:dyDescent="0.25">
      <c r="A864" s="141" t="s">
        <v>1238</v>
      </c>
      <c r="B864" s="80">
        <v>8892</v>
      </c>
      <c r="C864" s="80">
        <v>3637</v>
      </c>
      <c r="D864" s="80">
        <v>50587</v>
      </c>
      <c r="E864" s="167">
        <v>4274</v>
      </c>
      <c r="F864" s="73">
        <v>4</v>
      </c>
      <c r="G864">
        <v>1928</v>
      </c>
      <c r="H864" s="72">
        <f t="shared" si="13"/>
        <v>0.53010723123453396</v>
      </c>
    </row>
    <row r="865" spans="1:8" x14ac:dyDescent="0.25">
      <c r="A865" s="141" t="s">
        <v>1240</v>
      </c>
      <c r="B865" s="80">
        <v>4473</v>
      </c>
      <c r="C865" s="80">
        <v>1643</v>
      </c>
      <c r="D865" s="80">
        <v>94922</v>
      </c>
      <c r="E865" s="167">
        <v>16786</v>
      </c>
      <c r="F865" s="73">
        <v>1.3</v>
      </c>
      <c r="G865">
        <v>325</v>
      </c>
      <c r="H865" s="72">
        <f t="shared" si="13"/>
        <v>0.1978088861838101</v>
      </c>
    </row>
    <row r="866" spans="1:8" x14ac:dyDescent="0.25">
      <c r="A866" s="141" t="s">
        <v>1242</v>
      </c>
      <c r="B866" s="80">
        <v>1841</v>
      </c>
      <c r="C866" s="80">
        <v>1018</v>
      </c>
      <c r="D866" s="80">
        <v>58900</v>
      </c>
      <c r="E866" s="167">
        <v>12281</v>
      </c>
      <c r="F866" s="73">
        <v>2.7</v>
      </c>
      <c r="G866">
        <v>200</v>
      </c>
      <c r="H866" s="72">
        <f t="shared" si="13"/>
        <v>0.19646365422396855</v>
      </c>
    </row>
    <row r="867" spans="1:8" x14ac:dyDescent="0.25">
      <c r="A867" s="141" t="s">
        <v>1939</v>
      </c>
      <c r="B867" s="80">
        <v>859</v>
      </c>
      <c r="C867" s="80">
        <v>433</v>
      </c>
      <c r="D867" s="80">
        <v>51607</v>
      </c>
      <c r="E867" s="167">
        <v>16318</v>
      </c>
      <c r="F867" s="73">
        <v>1.3</v>
      </c>
      <c r="G867">
        <v>188</v>
      </c>
      <c r="H867" s="72">
        <f t="shared" si="13"/>
        <v>0.43418013856812931</v>
      </c>
    </row>
    <row r="868" spans="1:8" x14ac:dyDescent="0.25">
      <c r="A868" s="141" t="s">
        <v>1875</v>
      </c>
      <c r="B868" s="80">
        <v>178</v>
      </c>
      <c r="C868" s="80">
        <v>97</v>
      </c>
      <c r="D868" s="80">
        <v>58295</v>
      </c>
      <c r="E868" s="167">
        <v>4448</v>
      </c>
      <c r="F868" s="73">
        <v>4.5</v>
      </c>
      <c r="G868">
        <v>19</v>
      </c>
      <c r="H868" s="72">
        <f t="shared" si="13"/>
        <v>0.19587628865979381</v>
      </c>
    </row>
    <row r="869" spans="1:8" x14ac:dyDescent="0.25">
      <c r="A869" s="141" t="s">
        <v>1766</v>
      </c>
      <c r="B869" s="80">
        <v>464</v>
      </c>
      <c r="C869" s="80">
        <v>189</v>
      </c>
      <c r="D869" s="80">
        <v>42500</v>
      </c>
      <c r="E869" s="167">
        <v>9254</v>
      </c>
      <c r="F869" s="73">
        <v>15.1</v>
      </c>
      <c r="G869">
        <v>171</v>
      </c>
      <c r="H869" s="72">
        <f t="shared" si="13"/>
        <v>0.90476190476190477</v>
      </c>
    </row>
    <row r="870" spans="1:8" x14ac:dyDescent="0.25">
      <c r="A870" s="141" t="s">
        <v>1729</v>
      </c>
      <c r="B870" s="80">
        <v>1513</v>
      </c>
      <c r="C870" s="80">
        <v>599</v>
      </c>
      <c r="D870" s="80">
        <v>95368</v>
      </c>
      <c r="E870" s="167">
        <v>3364</v>
      </c>
      <c r="F870" s="73">
        <v>0.7</v>
      </c>
      <c r="G870">
        <v>155</v>
      </c>
      <c r="H870" s="72">
        <f t="shared" si="13"/>
        <v>0.2587646076794658</v>
      </c>
    </row>
    <row r="871" spans="1:8" x14ac:dyDescent="0.25">
      <c r="A871" s="141" t="s">
        <v>1622</v>
      </c>
      <c r="B871" s="80">
        <v>4591</v>
      </c>
      <c r="C871" s="80">
        <v>2652</v>
      </c>
      <c r="D871" s="80">
        <v>88431</v>
      </c>
      <c r="E871" s="167">
        <v>7806</v>
      </c>
      <c r="F871" s="73">
        <v>1.5</v>
      </c>
      <c r="G871">
        <v>460</v>
      </c>
      <c r="H871" s="72">
        <f t="shared" si="13"/>
        <v>0.17345399698340874</v>
      </c>
    </row>
    <row r="872" spans="1:8" x14ac:dyDescent="0.25">
      <c r="A872" s="141" t="s">
        <v>1244</v>
      </c>
      <c r="B872" s="80">
        <v>848</v>
      </c>
      <c r="C872" s="80">
        <v>417</v>
      </c>
      <c r="D872" s="80">
        <v>50000</v>
      </c>
      <c r="E872" s="167">
        <v>12174</v>
      </c>
      <c r="F872" s="73">
        <v>6.6</v>
      </c>
      <c r="G872">
        <v>257</v>
      </c>
      <c r="H872" s="72">
        <f t="shared" si="13"/>
        <v>0.61630695443645089</v>
      </c>
    </row>
    <row r="873" spans="1:8" x14ac:dyDescent="0.25">
      <c r="A873" s="141" t="s">
        <v>1247</v>
      </c>
      <c r="B873" s="80">
        <v>2367</v>
      </c>
      <c r="C873" s="80">
        <v>1163</v>
      </c>
      <c r="D873" s="80">
        <v>46538</v>
      </c>
      <c r="E873" s="167">
        <v>8661</v>
      </c>
      <c r="F873" s="73">
        <v>3.6</v>
      </c>
      <c r="G873">
        <v>457</v>
      </c>
      <c r="H873" s="72">
        <f t="shared" si="13"/>
        <v>0.39294926913155631</v>
      </c>
    </row>
    <row r="874" spans="1:8" x14ac:dyDescent="0.25">
      <c r="A874" s="141" t="s">
        <v>1898</v>
      </c>
      <c r="B874" s="80">
        <v>128</v>
      </c>
      <c r="C874" s="80">
        <v>65</v>
      </c>
      <c r="D874" s="80">
        <v>37708</v>
      </c>
      <c r="E874" s="167">
        <v>2847</v>
      </c>
      <c r="F874" s="73">
        <v>4.5</v>
      </c>
      <c r="G874">
        <v>41</v>
      </c>
      <c r="H874" s="72">
        <f t="shared" si="13"/>
        <v>0.63076923076923075</v>
      </c>
    </row>
    <row r="875" spans="1:8" x14ac:dyDescent="0.25">
      <c r="A875" s="141" t="s">
        <v>1656</v>
      </c>
      <c r="B875" s="80">
        <v>900</v>
      </c>
      <c r="C875" s="80">
        <v>550</v>
      </c>
      <c r="D875" s="80">
        <v>33603</v>
      </c>
      <c r="E875" s="167">
        <v>7616</v>
      </c>
      <c r="F875" s="73">
        <v>2.4</v>
      </c>
      <c r="G875">
        <v>296</v>
      </c>
      <c r="H875" s="72">
        <f t="shared" si="13"/>
        <v>0.53818181818181821</v>
      </c>
    </row>
    <row r="876" spans="1:8" x14ac:dyDescent="0.25">
      <c r="A876" s="141" t="s">
        <v>1252</v>
      </c>
      <c r="B876" s="80">
        <v>775</v>
      </c>
      <c r="C876" s="80">
        <v>319</v>
      </c>
      <c r="D876" s="80">
        <v>60000</v>
      </c>
      <c r="E876" s="167">
        <v>10559</v>
      </c>
      <c r="F876" s="73">
        <v>0.6</v>
      </c>
      <c r="G876">
        <v>194</v>
      </c>
      <c r="H876" s="72">
        <f t="shared" si="13"/>
        <v>0.60815047021943569</v>
      </c>
    </row>
    <row r="877" spans="1:8" x14ac:dyDescent="0.25">
      <c r="A877" s="141" t="s">
        <v>2384</v>
      </c>
      <c r="B877" s="80">
        <v>45</v>
      </c>
      <c r="C877" s="80">
        <v>34</v>
      </c>
      <c r="D877" s="80">
        <v>34125</v>
      </c>
      <c r="E877" s="167">
        <v>3829</v>
      </c>
      <c r="F877" s="73">
        <v>0</v>
      </c>
      <c r="G877">
        <v>2</v>
      </c>
      <c r="H877" s="72">
        <f t="shared" si="13"/>
        <v>5.8823529411764705E-2</v>
      </c>
    </row>
    <row r="878" spans="1:8" x14ac:dyDescent="0.25">
      <c r="A878" s="141" t="s">
        <v>4</v>
      </c>
      <c r="B878" s="80">
        <v>38</v>
      </c>
      <c r="C878" s="80">
        <v>22</v>
      </c>
      <c r="D878" s="80"/>
      <c r="E878" s="167" t="s">
        <v>0</v>
      </c>
      <c r="F878" s="73">
        <v>0</v>
      </c>
      <c r="G878">
        <v>24</v>
      </c>
      <c r="H878" s="72">
        <f t="shared" si="13"/>
        <v>1.0909090909090908</v>
      </c>
    </row>
    <row r="879" spans="1:8" x14ac:dyDescent="0.25">
      <c r="A879" s="141" t="s">
        <v>2427</v>
      </c>
      <c r="B879" s="80">
        <v>19805</v>
      </c>
      <c r="C879" s="80">
        <v>9241</v>
      </c>
      <c r="D879" s="80">
        <v>57142</v>
      </c>
      <c r="E879" s="167">
        <v>5661</v>
      </c>
      <c r="F879" s="73">
        <v>5.4</v>
      </c>
      <c r="G879">
        <v>3623</v>
      </c>
      <c r="H879" s="72">
        <f t="shared" si="13"/>
        <v>0.39205713667352016</v>
      </c>
    </row>
    <row r="880" spans="1:8" x14ac:dyDescent="0.25">
      <c r="A880" s="141" t="s">
        <v>2383</v>
      </c>
      <c r="B880" s="80">
        <v>81</v>
      </c>
      <c r="C880" s="80">
        <v>39</v>
      </c>
      <c r="D880" s="80">
        <v>49219</v>
      </c>
      <c r="E880" s="167">
        <v>8750</v>
      </c>
      <c r="F880" s="73">
        <v>5.7</v>
      </c>
      <c r="G880">
        <v>17</v>
      </c>
      <c r="H880" s="72">
        <f t="shared" si="13"/>
        <v>0.4358974358974359</v>
      </c>
    </row>
    <row r="881" spans="1:8" x14ac:dyDescent="0.25">
      <c r="A881" s="141" t="s">
        <v>2385</v>
      </c>
      <c r="B881" s="80">
        <v>37</v>
      </c>
      <c r="C881" s="80">
        <v>40</v>
      </c>
      <c r="D881" s="80">
        <v>50833</v>
      </c>
      <c r="E881" s="167">
        <v>15460</v>
      </c>
      <c r="F881" s="73">
        <v>0</v>
      </c>
      <c r="G881">
        <v>4</v>
      </c>
      <c r="H881" s="72">
        <f t="shared" si="13"/>
        <v>0.1</v>
      </c>
    </row>
    <row r="882" spans="1:8" x14ac:dyDescent="0.25">
      <c r="A882" s="141" t="s">
        <v>1563</v>
      </c>
      <c r="B882" s="80">
        <v>1401</v>
      </c>
      <c r="C882" s="80">
        <v>921</v>
      </c>
      <c r="D882" s="80">
        <v>43883</v>
      </c>
      <c r="E882" s="167">
        <v>3876</v>
      </c>
      <c r="F882" s="73">
        <v>4.2</v>
      </c>
      <c r="G882">
        <v>289</v>
      </c>
      <c r="H882" s="72">
        <f t="shared" si="13"/>
        <v>0.31378935939196523</v>
      </c>
    </row>
    <row r="883" spans="1:8" x14ac:dyDescent="0.25">
      <c r="A883" s="141" t="s">
        <v>3</v>
      </c>
      <c r="B883" s="80">
        <v>85</v>
      </c>
      <c r="C883" s="80">
        <v>122</v>
      </c>
      <c r="D883" s="80">
        <v>61875</v>
      </c>
      <c r="E883" s="167">
        <v>25821</v>
      </c>
      <c r="F883" s="73">
        <v>13.8</v>
      </c>
      <c r="G883">
        <v>24</v>
      </c>
      <c r="H883" s="72">
        <f t="shared" si="13"/>
        <v>0.19672131147540983</v>
      </c>
    </row>
    <row r="884" spans="1:8" x14ac:dyDescent="0.25">
      <c r="A884" s="141" t="s">
        <v>1474</v>
      </c>
      <c r="B884" s="80">
        <v>25718</v>
      </c>
      <c r="C884" s="80">
        <v>11349</v>
      </c>
      <c r="D884" s="80">
        <v>70981</v>
      </c>
      <c r="E884" s="167">
        <v>4140</v>
      </c>
      <c r="F884" s="73">
        <v>4.7</v>
      </c>
      <c r="G884">
        <v>2481</v>
      </c>
      <c r="H884" s="72">
        <f t="shared" si="13"/>
        <v>0.21860956912503304</v>
      </c>
    </row>
    <row r="885" spans="1:8" x14ac:dyDescent="0.25">
      <c r="A885" s="141" t="s">
        <v>2</v>
      </c>
      <c r="B885" s="80">
        <v>478</v>
      </c>
      <c r="C885" s="80">
        <v>218</v>
      </c>
      <c r="D885" s="80">
        <v>22000</v>
      </c>
      <c r="E885" s="167">
        <v>5419</v>
      </c>
      <c r="F885" s="73">
        <v>27.2</v>
      </c>
      <c r="G885">
        <v>339</v>
      </c>
      <c r="H885" s="72">
        <f t="shared" si="13"/>
        <v>1.5550458715596329</v>
      </c>
    </row>
    <row r="886" spans="1:8" x14ac:dyDescent="0.25">
      <c r="A886" s="141" t="s">
        <v>2030</v>
      </c>
      <c r="B886" s="80">
        <v>36</v>
      </c>
      <c r="C886" s="80">
        <v>13</v>
      </c>
      <c r="D886" s="80">
        <v>62857</v>
      </c>
      <c r="E886" s="167">
        <v>62661</v>
      </c>
      <c r="F886" s="73">
        <v>0</v>
      </c>
      <c r="G886">
        <v>13</v>
      </c>
      <c r="H886" s="72">
        <f t="shared" si="13"/>
        <v>1</v>
      </c>
    </row>
    <row r="887" spans="1:8" x14ac:dyDescent="0.25">
      <c r="A887" s="141" t="s">
        <v>2017</v>
      </c>
      <c r="B887" s="80">
        <v>498</v>
      </c>
      <c r="C887" s="80">
        <v>224</v>
      </c>
      <c r="D887" s="80">
        <v>59821</v>
      </c>
      <c r="E887" s="167">
        <v>28497</v>
      </c>
      <c r="F887" s="73">
        <v>15.7</v>
      </c>
      <c r="G887">
        <v>106</v>
      </c>
      <c r="H887" s="72">
        <f t="shared" si="13"/>
        <v>0.4732142857142857</v>
      </c>
    </row>
    <row r="888" spans="1:8" x14ac:dyDescent="0.25">
      <c r="A888" s="141" t="s">
        <v>2386</v>
      </c>
      <c r="B888" s="80">
        <v>243</v>
      </c>
      <c r="C888" s="80">
        <v>144</v>
      </c>
      <c r="D888" s="80"/>
      <c r="E888" s="167" t="s">
        <v>0</v>
      </c>
      <c r="F888" s="73">
        <v>0</v>
      </c>
      <c r="G888">
        <v>81</v>
      </c>
      <c r="H888" s="72">
        <f t="shared" si="13"/>
        <v>0.5625</v>
      </c>
    </row>
    <row r="889" spans="1:8" x14ac:dyDescent="0.25">
      <c r="A889" s="141" t="s">
        <v>1254</v>
      </c>
      <c r="B889" s="80">
        <v>19728</v>
      </c>
      <c r="C889" s="80">
        <v>8084</v>
      </c>
      <c r="D889" s="80">
        <v>51884</v>
      </c>
      <c r="E889" s="167">
        <v>5003</v>
      </c>
      <c r="F889" s="73">
        <v>5.3</v>
      </c>
      <c r="G889">
        <v>6172</v>
      </c>
      <c r="H889" s="72">
        <f t="shared" si="13"/>
        <v>0.76348342404750125</v>
      </c>
    </row>
    <row r="890" spans="1:8" x14ac:dyDescent="0.25">
      <c r="A890" s="141" t="s">
        <v>1682</v>
      </c>
      <c r="B890" s="80">
        <v>370</v>
      </c>
      <c r="C890" s="80">
        <v>193</v>
      </c>
      <c r="D890" s="80">
        <v>38333</v>
      </c>
      <c r="E890" s="167">
        <v>6668</v>
      </c>
      <c r="F890" s="73">
        <v>14.1</v>
      </c>
      <c r="G890">
        <v>52</v>
      </c>
      <c r="H890" s="72">
        <f t="shared" si="13"/>
        <v>0.26943005181347152</v>
      </c>
    </row>
    <row r="891" spans="1:8" x14ac:dyDescent="0.25">
      <c r="A891" s="141" t="s">
        <v>2031</v>
      </c>
      <c r="B891" s="80">
        <v>286</v>
      </c>
      <c r="C891" s="80">
        <v>160</v>
      </c>
      <c r="D891" s="80">
        <v>44375</v>
      </c>
      <c r="E891" s="167">
        <v>12624</v>
      </c>
      <c r="F891" s="73">
        <v>6.7</v>
      </c>
      <c r="G891">
        <v>43</v>
      </c>
      <c r="H891" s="72">
        <f t="shared" si="13"/>
        <v>0.26874999999999999</v>
      </c>
    </row>
    <row r="892" spans="1:8" x14ac:dyDescent="0.25">
      <c r="A892" s="141" t="s">
        <v>2387</v>
      </c>
      <c r="B892" s="80">
        <v>158</v>
      </c>
      <c r="C892" s="80">
        <v>71</v>
      </c>
      <c r="D892" s="80">
        <v>55938</v>
      </c>
      <c r="E892" s="167">
        <v>16411</v>
      </c>
      <c r="F892" s="73">
        <v>8.9</v>
      </c>
      <c r="G892">
        <v>44</v>
      </c>
      <c r="H892" s="72">
        <f t="shared" si="13"/>
        <v>0.61971830985915488</v>
      </c>
    </row>
    <row r="893" spans="1:8" x14ac:dyDescent="0.25">
      <c r="A893" s="141" t="s">
        <v>1256</v>
      </c>
      <c r="B893" s="80">
        <v>4423</v>
      </c>
      <c r="C893" s="80">
        <v>2047</v>
      </c>
      <c r="D893" s="80">
        <v>47827</v>
      </c>
      <c r="E893" s="167">
        <v>3512</v>
      </c>
      <c r="F893" s="73">
        <v>6.8</v>
      </c>
      <c r="G893">
        <v>1030</v>
      </c>
      <c r="H893" s="72">
        <f t="shared" si="13"/>
        <v>0.50317537860283346</v>
      </c>
    </row>
    <row r="894" spans="1:8" x14ac:dyDescent="0.25">
      <c r="A894" s="141" t="s">
        <v>1932</v>
      </c>
      <c r="B894" s="80">
        <v>142</v>
      </c>
      <c r="C894" s="80">
        <v>86</v>
      </c>
      <c r="D894" s="80">
        <v>35750</v>
      </c>
      <c r="E894" s="167">
        <v>10082</v>
      </c>
      <c r="F894" s="73">
        <v>6.6</v>
      </c>
      <c r="G894">
        <v>50</v>
      </c>
      <c r="H894" s="72">
        <f t="shared" si="13"/>
        <v>0.58139534883720934</v>
      </c>
    </row>
    <row r="895" spans="1:8" x14ac:dyDescent="0.25">
      <c r="A895" s="141" t="s">
        <v>1258</v>
      </c>
      <c r="B895" s="80">
        <v>1261</v>
      </c>
      <c r="C895" s="80">
        <v>633</v>
      </c>
      <c r="D895" s="80">
        <v>49604</v>
      </c>
      <c r="E895" s="167">
        <v>5380</v>
      </c>
      <c r="F895" s="73">
        <v>4.2</v>
      </c>
      <c r="G895">
        <v>265</v>
      </c>
      <c r="H895" s="72">
        <f t="shared" si="13"/>
        <v>0.41864139020537122</v>
      </c>
    </row>
    <row r="896" spans="1:8" x14ac:dyDescent="0.25">
      <c r="A896" s="141" t="s">
        <v>1779</v>
      </c>
      <c r="B896" s="80">
        <v>26772</v>
      </c>
      <c r="C896" s="80">
        <v>11502</v>
      </c>
      <c r="D896" s="80">
        <v>48653</v>
      </c>
      <c r="E896" s="167">
        <v>4127</v>
      </c>
      <c r="F896" s="73">
        <v>3.5</v>
      </c>
      <c r="G896">
        <v>6571</v>
      </c>
      <c r="H896" s="72">
        <f t="shared" si="13"/>
        <v>0.57129194922622151</v>
      </c>
    </row>
    <row r="897" spans="1:8" x14ac:dyDescent="0.25">
      <c r="A897" s="141" t="s">
        <v>1781</v>
      </c>
      <c r="B897" s="80">
        <v>2036</v>
      </c>
      <c r="C897" s="80">
        <v>1004</v>
      </c>
      <c r="D897" s="80">
        <v>50598</v>
      </c>
      <c r="E897" s="167">
        <v>19149</v>
      </c>
      <c r="F897" s="73">
        <v>0.5</v>
      </c>
      <c r="G897">
        <v>470</v>
      </c>
      <c r="H897" s="72">
        <f t="shared" si="13"/>
        <v>0.46812749003984061</v>
      </c>
    </row>
    <row r="898" spans="1:8" x14ac:dyDescent="0.25">
      <c r="A898" s="141" t="s">
        <v>1260</v>
      </c>
      <c r="B898" s="80">
        <v>1317</v>
      </c>
      <c r="C898" s="80">
        <v>698</v>
      </c>
      <c r="D898" s="80">
        <v>52625</v>
      </c>
      <c r="E898" s="167">
        <v>7997</v>
      </c>
      <c r="F898" s="73">
        <v>6.6</v>
      </c>
      <c r="G898">
        <v>287</v>
      </c>
      <c r="H898" s="72">
        <f t="shared" ref="H898:H914" si="14">G898/C898</f>
        <v>0.41117478510028654</v>
      </c>
    </row>
    <row r="899" spans="1:8" x14ac:dyDescent="0.25">
      <c r="A899" s="141" t="s">
        <v>1755</v>
      </c>
      <c r="B899" s="80">
        <v>130</v>
      </c>
      <c r="C899" s="80">
        <v>86</v>
      </c>
      <c r="D899" s="80">
        <v>44167</v>
      </c>
      <c r="E899" s="167">
        <v>15147</v>
      </c>
      <c r="F899" s="73">
        <v>2.5</v>
      </c>
      <c r="G899">
        <v>42</v>
      </c>
      <c r="H899" s="72">
        <f t="shared" si="14"/>
        <v>0.48837209302325579</v>
      </c>
    </row>
    <row r="900" spans="1:8" x14ac:dyDescent="0.25">
      <c r="A900" s="141" t="s">
        <v>2388</v>
      </c>
      <c r="B900" s="80">
        <v>41</v>
      </c>
      <c r="C900" s="80">
        <v>26</v>
      </c>
      <c r="D900" s="80">
        <v>45833</v>
      </c>
      <c r="E900" s="167">
        <v>20986</v>
      </c>
      <c r="F900" s="73">
        <v>0</v>
      </c>
      <c r="G900">
        <v>4</v>
      </c>
      <c r="H900" s="72">
        <f t="shared" si="14"/>
        <v>0.15384615384615385</v>
      </c>
    </row>
    <row r="901" spans="1:8" x14ac:dyDescent="0.25">
      <c r="A901" s="141" t="s">
        <v>1861</v>
      </c>
      <c r="B901" s="80">
        <v>175</v>
      </c>
      <c r="C901" s="80">
        <v>78</v>
      </c>
      <c r="D901" s="80">
        <v>39732</v>
      </c>
      <c r="E901" s="167">
        <v>23082</v>
      </c>
      <c r="F901" s="73">
        <v>1.4</v>
      </c>
      <c r="G901">
        <v>26</v>
      </c>
      <c r="H901" s="72">
        <f t="shared" si="14"/>
        <v>0.33333333333333331</v>
      </c>
    </row>
    <row r="902" spans="1:8" x14ac:dyDescent="0.25">
      <c r="A902" s="141" t="s">
        <v>1606</v>
      </c>
      <c r="B902" s="80">
        <v>71298</v>
      </c>
      <c r="C902" s="80">
        <v>26576</v>
      </c>
      <c r="D902" s="80">
        <v>108055</v>
      </c>
      <c r="E902" s="167">
        <v>4794</v>
      </c>
      <c r="F902" s="73">
        <v>3.2</v>
      </c>
      <c r="G902">
        <v>5092</v>
      </c>
      <c r="H902" s="72">
        <f t="shared" si="14"/>
        <v>0.1916014449127032</v>
      </c>
    </row>
    <row r="903" spans="1:8" x14ac:dyDescent="0.25">
      <c r="A903" s="141" t="s">
        <v>1657</v>
      </c>
      <c r="B903" s="80">
        <v>381</v>
      </c>
      <c r="C903" s="80">
        <v>182</v>
      </c>
      <c r="D903" s="80">
        <v>60000</v>
      </c>
      <c r="E903" s="167">
        <v>8269</v>
      </c>
      <c r="F903" s="73">
        <v>1.3</v>
      </c>
      <c r="G903">
        <v>27</v>
      </c>
      <c r="H903" s="72">
        <f t="shared" si="14"/>
        <v>0.14835164835164835</v>
      </c>
    </row>
    <row r="904" spans="1:8" x14ac:dyDescent="0.25">
      <c r="A904" s="141" t="s">
        <v>2389</v>
      </c>
      <c r="B904" s="80">
        <v>537</v>
      </c>
      <c r="C904" s="80">
        <v>214</v>
      </c>
      <c r="D904" s="80">
        <v>189375</v>
      </c>
      <c r="E904" s="167">
        <v>72498</v>
      </c>
      <c r="F904" s="73">
        <v>5.8</v>
      </c>
      <c r="G904">
        <v>8</v>
      </c>
      <c r="H904" s="72">
        <f t="shared" si="14"/>
        <v>3.7383177570093455E-2</v>
      </c>
    </row>
    <row r="905" spans="1:8" x14ac:dyDescent="0.25">
      <c r="A905" s="141" t="s">
        <v>1957</v>
      </c>
      <c r="B905" s="80">
        <v>113</v>
      </c>
      <c r="C905" s="80">
        <v>65</v>
      </c>
      <c r="D905" s="80">
        <v>48750</v>
      </c>
      <c r="E905" s="167">
        <v>1034</v>
      </c>
      <c r="F905" s="73">
        <v>10.7</v>
      </c>
      <c r="G905">
        <v>18</v>
      </c>
      <c r="H905" s="72">
        <f t="shared" si="14"/>
        <v>0.27692307692307694</v>
      </c>
    </row>
    <row r="906" spans="1:8" x14ac:dyDescent="0.25">
      <c r="A906" s="141" t="s">
        <v>1262</v>
      </c>
      <c r="B906" s="80">
        <v>13093</v>
      </c>
      <c r="C906" s="80">
        <v>4860</v>
      </c>
      <c r="D906" s="80">
        <v>49590</v>
      </c>
      <c r="E906" s="167">
        <v>6575</v>
      </c>
      <c r="F906" s="73">
        <v>2.5</v>
      </c>
      <c r="G906">
        <v>3994</v>
      </c>
      <c r="H906" s="72">
        <f t="shared" si="14"/>
        <v>0.82181069958847741</v>
      </c>
    </row>
    <row r="907" spans="1:8" x14ac:dyDescent="0.25">
      <c r="A907" s="141" t="s">
        <v>1647</v>
      </c>
      <c r="B907" s="80">
        <v>459</v>
      </c>
      <c r="C907" s="80">
        <v>183</v>
      </c>
      <c r="D907" s="80">
        <v>76563</v>
      </c>
      <c r="E907" s="167">
        <v>11263</v>
      </c>
      <c r="F907" s="73">
        <v>1.3</v>
      </c>
      <c r="G907">
        <v>53</v>
      </c>
      <c r="H907" s="72">
        <f t="shared" si="14"/>
        <v>0.2896174863387978</v>
      </c>
    </row>
    <row r="908" spans="1:8" x14ac:dyDescent="0.25">
      <c r="A908" s="141" t="s">
        <v>2390</v>
      </c>
      <c r="B908" s="80">
        <v>136</v>
      </c>
      <c r="C908" s="80">
        <v>80</v>
      </c>
      <c r="D908" s="80">
        <v>33750</v>
      </c>
      <c r="E908" s="167">
        <v>32455</v>
      </c>
      <c r="F908" s="73">
        <v>8.1</v>
      </c>
      <c r="G908">
        <v>54</v>
      </c>
      <c r="H908" s="72">
        <f t="shared" si="14"/>
        <v>0.67500000000000004</v>
      </c>
    </row>
    <row r="909" spans="1:8" x14ac:dyDescent="0.25">
      <c r="A909" s="141" t="s">
        <v>1265</v>
      </c>
      <c r="B909" s="80">
        <v>417</v>
      </c>
      <c r="C909" s="80">
        <v>186</v>
      </c>
      <c r="D909" s="80">
        <v>59583</v>
      </c>
      <c r="E909" s="167">
        <v>17953</v>
      </c>
      <c r="F909" s="73">
        <v>0.9</v>
      </c>
      <c r="G909">
        <v>122</v>
      </c>
      <c r="H909" s="72">
        <f t="shared" si="14"/>
        <v>0.65591397849462363</v>
      </c>
    </row>
    <row r="910" spans="1:8" x14ac:dyDescent="0.25">
      <c r="A910" s="141" t="s">
        <v>1519</v>
      </c>
      <c r="B910" s="80">
        <v>7976</v>
      </c>
      <c r="C910" s="80">
        <v>2855</v>
      </c>
      <c r="D910" s="80">
        <v>88876</v>
      </c>
      <c r="E910" s="167">
        <v>5424</v>
      </c>
      <c r="F910" s="73">
        <v>3.9</v>
      </c>
      <c r="G910">
        <v>573</v>
      </c>
      <c r="H910" s="72">
        <f t="shared" si="14"/>
        <v>0.20070052539404554</v>
      </c>
    </row>
    <row r="911" spans="1:8" x14ac:dyDescent="0.25">
      <c r="A911" s="141" t="s">
        <v>2391</v>
      </c>
      <c r="B911" s="80">
        <v>121</v>
      </c>
      <c r="C911" s="80">
        <v>40</v>
      </c>
      <c r="D911" s="80">
        <v>54167</v>
      </c>
      <c r="E911" s="167">
        <v>29391</v>
      </c>
      <c r="F911" s="73">
        <v>0</v>
      </c>
      <c r="G911">
        <v>26</v>
      </c>
      <c r="H911" s="72">
        <f t="shared" si="14"/>
        <v>0.65</v>
      </c>
    </row>
    <row r="912" spans="1:8" x14ac:dyDescent="0.25">
      <c r="A912" s="141" t="s">
        <v>1267</v>
      </c>
      <c r="B912" s="80">
        <v>5831</v>
      </c>
      <c r="C912" s="80">
        <v>1920</v>
      </c>
      <c r="D912" s="80">
        <v>74891</v>
      </c>
      <c r="E912" s="167">
        <v>12667</v>
      </c>
      <c r="F912" s="73">
        <v>0.7</v>
      </c>
      <c r="G912">
        <v>807</v>
      </c>
      <c r="H912" s="72">
        <f t="shared" si="14"/>
        <v>0.42031249999999998</v>
      </c>
    </row>
    <row r="913" spans="1:8" x14ac:dyDescent="0.25">
      <c r="A913" s="141" t="s">
        <v>1678</v>
      </c>
      <c r="B913" s="80">
        <v>223</v>
      </c>
      <c r="C913" s="80">
        <v>116</v>
      </c>
      <c r="D913" s="80">
        <v>68750</v>
      </c>
      <c r="E913" s="167">
        <v>31322</v>
      </c>
      <c r="F913" s="73">
        <v>23.4</v>
      </c>
      <c r="G913">
        <v>13</v>
      </c>
      <c r="H913" s="72">
        <f t="shared" si="14"/>
        <v>0.11206896551724138</v>
      </c>
    </row>
    <row r="914" spans="1:8" x14ac:dyDescent="0.25">
      <c r="A914" s="141" t="s">
        <v>1537</v>
      </c>
      <c r="B914" s="80">
        <v>3452</v>
      </c>
      <c r="C914" s="80">
        <v>1656</v>
      </c>
      <c r="D914" s="80">
        <v>67353</v>
      </c>
      <c r="E914" s="167">
        <v>33378</v>
      </c>
      <c r="F914" s="73">
        <v>0.9</v>
      </c>
      <c r="G914">
        <v>470</v>
      </c>
      <c r="H914" s="72">
        <f t="shared" si="14"/>
        <v>0.28381642512077293</v>
      </c>
    </row>
  </sheetData>
  <sheetProtection sheet="1" objects="1" scenarios="1"/>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5AD1D-5113-4D0E-BB46-307151022010}">
  <sheetPr codeName="Sheet6"/>
  <dimension ref="A1:T857"/>
  <sheetViews>
    <sheetView topLeftCell="B1" workbookViewId="0">
      <selection activeCell="F32" sqref="F32"/>
    </sheetView>
  </sheetViews>
  <sheetFormatPr defaultRowHeight="15" x14ac:dyDescent="0.25"/>
  <cols>
    <col min="1" max="1" width="45" bestFit="1" customWidth="1"/>
    <col min="2" max="2" width="20" customWidth="1"/>
    <col min="3" max="3" width="20" style="116" customWidth="1"/>
    <col min="4" max="4" width="17.28515625" customWidth="1"/>
    <col min="5" max="5" width="24.85546875" customWidth="1"/>
    <col min="6" max="6" width="29.28515625" customWidth="1"/>
    <col min="7" max="7" width="11.7109375" style="17" customWidth="1"/>
    <col min="8" max="8" width="24.28515625" style="32" customWidth="1"/>
    <col min="13" max="13" width="19.85546875" style="74" bestFit="1" customWidth="1"/>
    <col min="14" max="14" width="12.5703125" style="79" bestFit="1" customWidth="1"/>
    <col min="15" max="15" width="11.140625" style="81" bestFit="1" customWidth="1"/>
    <col min="17" max="18" width="29.7109375" bestFit="1" customWidth="1"/>
    <col min="19" max="19" width="15.28515625" bestFit="1" customWidth="1"/>
    <col min="20" max="20" width="14.140625" bestFit="1" customWidth="1"/>
    <col min="21" max="21" width="12.85546875" bestFit="1" customWidth="1"/>
  </cols>
  <sheetData>
    <row r="1" spans="1:20" s="3" customFormat="1" ht="45" x14ac:dyDescent="0.25">
      <c r="A1" s="3" t="s">
        <v>966</v>
      </c>
      <c r="B1" s="3" t="s">
        <v>73</v>
      </c>
      <c r="C1" s="111" t="s">
        <v>2241</v>
      </c>
      <c r="D1" s="3" t="s">
        <v>74</v>
      </c>
      <c r="E1" s="3" t="s">
        <v>75</v>
      </c>
      <c r="F1" s="3" t="s">
        <v>76</v>
      </c>
      <c r="G1" s="70" t="s">
        <v>77</v>
      </c>
      <c r="H1" s="31" t="s">
        <v>78</v>
      </c>
      <c r="I1" s="8" t="s">
        <v>931</v>
      </c>
      <c r="J1" s="8" t="s">
        <v>932</v>
      </c>
      <c r="K1" s="8" t="s">
        <v>933</v>
      </c>
      <c r="L1" s="8" t="s">
        <v>934</v>
      </c>
      <c r="M1" s="74" t="s">
        <v>935</v>
      </c>
      <c r="N1" s="74" t="s">
        <v>936</v>
      </c>
      <c r="O1" s="80" t="s">
        <v>1418</v>
      </c>
    </row>
    <row r="2" spans="1:20" x14ac:dyDescent="0.25">
      <c r="B2" s="5" t="s">
        <v>79</v>
      </c>
      <c r="C2" s="5" t="s">
        <v>1614</v>
      </c>
      <c r="D2" s="6">
        <v>432017</v>
      </c>
      <c r="E2" s="6">
        <v>63894777</v>
      </c>
      <c r="F2" s="1">
        <v>6.7613820766601936E-3</v>
      </c>
      <c r="H2" s="32">
        <f>M2/E2</f>
        <v>2.9266867931943795E-3</v>
      </c>
      <c r="I2" s="9" t="s">
        <v>937</v>
      </c>
      <c r="J2" s="9">
        <v>3</v>
      </c>
      <c r="K2" s="9">
        <v>5</v>
      </c>
      <c r="L2" s="9" t="s">
        <v>938</v>
      </c>
      <c r="M2" s="75">
        <v>187000</v>
      </c>
      <c r="N2" s="78">
        <v>639883</v>
      </c>
      <c r="O2" s="81">
        <v>432017</v>
      </c>
    </row>
    <row r="3" spans="1:20" x14ac:dyDescent="0.25">
      <c r="A3" t="s">
        <v>970</v>
      </c>
      <c r="B3" s="5" t="s">
        <v>80</v>
      </c>
      <c r="C3" s="5" t="s">
        <v>971</v>
      </c>
      <c r="D3" s="6">
        <v>419597</v>
      </c>
      <c r="E3" s="6">
        <v>31672600</v>
      </c>
      <c r="F3" s="1">
        <v>1.3247949331598922E-2</v>
      </c>
      <c r="H3" s="32">
        <f t="shared" ref="H3:H66" si="0">M3/E3</f>
        <v>0</v>
      </c>
      <c r="I3" s="9" t="s">
        <v>939</v>
      </c>
      <c r="J3" s="9">
        <v>0</v>
      </c>
      <c r="K3" s="9">
        <v>0</v>
      </c>
      <c r="L3" s="9" t="s">
        <v>940</v>
      </c>
      <c r="M3" s="75">
        <v>0</v>
      </c>
      <c r="N3" s="78">
        <v>367703</v>
      </c>
      <c r="O3" s="81">
        <v>419597</v>
      </c>
    </row>
    <row r="4" spans="1:20" x14ac:dyDescent="0.25">
      <c r="A4" t="s">
        <v>972</v>
      </c>
      <c r="B4" s="5" t="s">
        <v>81</v>
      </c>
      <c r="C4" s="5" t="s">
        <v>973</v>
      </c>
      <c r="D4" s="6">
        <v>507019</v>
      </c>
      <c r="E4" s="6">
        <v>73185394</v>
      </c>
      <c r="F4" s="1">
        <v>6.9278714274599654E-3</v>
      </c>
      <c r="H4" s="32">
        <f t="shared" si="0"/>
        <v>0</v>
      </c>
      <c r="I4" s="9" t="s">
        <v>937</v>
      </c>
      <c r="J4" s="9">
        <v>3</v>
      </c>
      <c r="K4" s="9">
        <v>5</v>
      </c>
      <c r="L4" s="9" t="s">
        <v>938</v>
      </c>
      <c r="M4" s="75">
        <v>0</v>
      </c>
      <c r="N4" s="78">
        <v>787620</v>
      </c>
      <c r="O4" s="81">
        <v>507019</v>
      </c>
    </row>
    <row r="5" spans="1:20" x14ac:dyDescent="0.25">
      <c r="B5" s="5" t="s">
        <v>82</v>
      </c>
      <c r="C5" s="5" t="s">
        <v>2242</v>
      </c>
      <c r="D5" s="6">
        <v>2387212</v>
      </c>
      <c r="E5" s="6">
        <v>716702700</v>
      </c>
      <c r="F5" s="1">
        <v>3.4267123592530068E-3</v>
      </c>
      <c r="H5" s="32">
        <f t="shared" si="0"/>
        <v>6.8647711247634483E-3</v>
      </c>
      <c r="I5" s="9" t="s">
        <v>941</v>
      </c>
      <c r="J5" s="9">
        <v>2</v>
      </c>
      <c r="K5" s="9">
        <v>2</v>
      </c>
      <c r="L5" s="9" t="s">
        <v>938</v>
      </c>
      <c r="M5" s="75">
        <v>4920000</v>
      </c>
      <c r="N5" s="78">
        <v>7454179</v>
      </c>
      <c r="O5" s="81">
        <v>2387212</v>
      </c>
    </row>
    <row r="6" spans="1:20" x14ac:dyDescent="0.25">
      <c r="B6" s="5" t="s">
        <v>83</v>
      </c>
      <c r="C6" s="5" t="s">
        <v>1813</v>
      </c>
      <c r="D6" s="6">
        <v>1204793</v>
      </c>
      <c r="E6" s="6">
        <v>117784013</v>
      </c>
      <c r="F6" s="1">
        <v>1.1634015220724395E-2</v>
      </c>
      <c r="H6" s="32">
        <f t="shared" si="0"/>
        <v>2.3305369974106756E-2</v>
      </c>
      <c r="I6" s="9" t="s">
        <v>937</v>
      </c>
      <c r="J6" s="9">
        <v>3</v>
      </c>
      <c r="K6" s="9">
        <v>5</v>
      </c>
      <c r="L6" s="9" t="s">
        <v>938</v>
      </c>
      <c r="M6" s="75">
        <v>2745000</v>
      </c>
      <c r="N6" s="78">
        <v>1281278</v>
      </c>
      <c r="O6" s="81">
        <v>1204793</v>
      </c>
      <c r="Q6" s="10" t="s">
        <v>952</v>
      </c>
      <c r="R6" s="10" t="s">
        <v>932</v>
      </c>
      <c r="S6" s="10" t="s">
        <v>953</v>
      </c>
      <c r="T6" s="10" t="s">
        <v>933</v>
      </c>
    </row>
    <row r="7" spans="1:20" x14ac:dyDescent="0.25">
      <c r="B7" s="5" t="s">
        <v>84</v>
      </c>
      <c r="C7" s="5" t="s">
        <v>1761</v>
      </c>
      <c r="D7" s="6">
        <v>207948</v>
      </c>
      <c r="E7" s="6">
        <v>20245600</v>
      </c>
      <c r="F7" s="1">
        <v>1.0271268818903861E-2</v>
      </c>
      <c r="H7" s="32">
        <f t="shared" si="0"/>
        <v>3.0376970798593275E-2</v>
      </c>
      <c r="I7" s="9" t="s">
        <v>939</v>
      </c>
      <c r="J7" s="9">
        <v>0</v>
      </c>
      <c r="K7" s="9">
        <v>0</v>
      </c>
      <c r="L7" s="9" t="s">
        <v>940</v>
      </c>
      <c r="M7" s="75">
        <v>615000</v>
      </c>
      <c r="N7" s="78">
        <v>218238</v>
      </c>
      <c r="O7" s="81">
        <v>207948</v>
      </c>
      <c r="Q7" s="10" t="s">
        <v>954</v>
      </c>
      <c r="R7" s="10">
        <v>0</v>
      </c>
      <c r="S7" s="10" t="s">
        <v>939</v>
      </c>
      <c r="T7" s="10">
        <v>0</v>
      </c>
    </row>
    <row r="8" spans="1:20" x14ac:dyDescent="0.25">
      <c r="B8" s="5" t="s">
        <v>85</v>
      </c>
      <c r="C8" s="5" t="s">
        <v>1877</v>
      </c>
      <c r="D8" s="6">
        <v>1068420</v>
      </c>
      <c r="E8" s="6">
        <v>206456000</v>
      </c>
      <c r="F8" s="1">
        <v>5.1750494052001392E-3</v>
      </c>
      <c r="H8" s="32">
        <f t="shared" si="0"/>
        <v>0</v>
      </c>
      <c r="I8" s="9" t="s">
        <v>937</v>
      </c>
      <c r="J8" s="9">
        <v>3</v>
      </c>
      <c r="K8" s="9">
        <v>5</v>
      </c>
      <c r="L8" s="9" t="s">
        <v>938</v>
      </c>
      <c r="M8" s="75">
        <v>0</v>
      </c>
      <c r="N8" s="78">
        <v>2387658</v>
      </c>
      <c r="O8" s="81">
        <v>1068420</v>
      </c>
      <c r="Q8" s="11" t="s">
        <v>955</v>
      </c>
      <c r="R8" s="11">
        <v>1</v>
      </c>
      <c r="S8" s="11" t="s">
        <v>944</v>
      </c>
      <c r="T8" s="11">
        <v>1</v>
      </c>
    </row>
    <row r="9" spans="1:20" x14ac:dyDescent="0.25">
      <c r="A9" t="s">
        <v>974</v>
      </c>
      <c r="B9" s="5" t="s">
        <v>86</v>
      </c>
      <c r="C9" s="5" t="s">
        <v>975</v>
      </c>
      <c r="D9" s="6">
        <v>6707314</v>
      </c>
      <c r="E9" s="6">
        <v>926374600</v>
      </c>
      <c r="F9" s="1">
        <v>7.2403906583794501E-3</v>
      </c>
      <c r="H9" s="32">
        <f t="shared" si="0"/>
        <v>0</v>
      </c>
      <c r="I9" s="9" t="s">
        <v>942</v>
      </c>
      <c r="J9" s="9">
        <v>2</v>
      </c>
      <c r="K9" s="9">
        <v>4</v>
      </c>
      <c r="L9" s="9" t="s">
        <v>938</v>
      </c>
      <c r="M9" s="75">
        <v>0</v>
      </c>
      <c r="N9" s="78">
        <v>11116317</v>
      </c>
      <c r="O9" s="81">
        <v>6707314</v>
      </c>
      <c r="Q9" s="260" t="s">
        <v>956</v>
      </c>
      <c r="R9" s="260">
        <v>2</v>
      </c>
      <c r="S9" s="11" t="s">
        <v>941</v>
      </c>
      <c r="T9" s="11">
        <v>2</v>
      </c>
    </row>
    <row r="10" spans="1:20" x14ac:dyDescent="0.25">
      <c r="B10" s="5" t="s">
        <v>87</v>
      </c>
      <c r="C10" s="5" t="s">
        <v>2010</v>
      </c>
      <c r="D10" s="6">
        <v>79304</v>
      </c>
      <c r="E10" s="6">
        <v>5298441</v>
      </c>
      <c r="F10" s="1">
        <v>1.4967421549093403E-2</v>
      </c>
      <c r="H10" s="32">
        <f t="shared" si="0"/>
        <v>0</v>
      </c>
      <c r="I10" s="9" t="s">
        <v>939</v>
      </c>
      <c r="J10" s="9">
        <v>0</v>
      </c>
      <c r="K10" s="9">
        <v>0</v>
      </c>
      <c r="L10" s="9" t="s">
        <v>940</v>
      </c>
      <c r="M10" s="75">
        <v>0</v>
      </c>
      <c r="N10" s="78">
        <v>85250</v>
      </c>
      <c r="O10" s="81">
        <v>79304</v>
      </c>
      <c r="Q10" s="261"/>
      <c r="R10" s="261"/>
      <c r="S10" s="11" t="s">
        <v>943</v>
      </c>
      <c r="T10" s="11">
        <v>3</v>
      </c>
    </row>
    <row r="11" spans="1:20" x14ac:dyDescent="0.25">
      <c r="A11" t="s">
        <v>976</v>
      </c>
      <c r="B11" s="5" t="s">
        <v>88</v>
      </c>
      <c r="C11" s="5" t="s">
        <v>977</v>
      </c>
      <c r="D11" s="6">
        <v>4317159</v>
      </c>
      <c r="E11" s="6">
        <v>787776600</v>
      </c>
      <c r="F11" s="1">
        <v>5.4801818180433386E-3</v>
      </c>
      <c r="H11" s="32">
        <f t="shared" si="0"/>
        <v>0</v>
      </c>
      <c r="I11" s="9" t="s">
        <v>939</v>
      </c>
      <c r="J11" s="9">
        <v>0</v>
      </c>
      <c r="K11" s="9">
        <v>0</v>
      </c>
      <c r="L11" s="9" t="s">
        <v>940</v>
      </c>
      <c r="M11" s="75">
        <v>0</v>
      </c>
      <c r="N11" s="78">
        <v>9224487</v>
      </c>
      <c r="O11" s="81">
        <v>4317159</v>
      </c>
      <c r="Q11" s="262"/>
      <c r="R11" s="262"/>
      <c r="S11" s="11" t="s">
        <v>942</v>
      </c>
      <c r="T11" s="11">
        <v>4</v>
      </c>
    </row>
    <row r="12" spans="1:20" x14ac:dyDescent="0.25">
      <c r="B12" s="5" t="s">
        <v>89</v>
      </c>
      <c r="C12" s="5" t="s">
        <v>1925</v>
      </c>
      <c r="D12" s="6">
        <v>239686</v>
      </c>
      <c r="E12" s="6">
        <v>25329200</v>
      </c>
      <c r="F12" s="1">
        <v>9.4628334096615759E-3</v>
      </c>
      <c r="H12" s="32">
        <f t="shared" si="0"/>
        <v>0</v>
      </c>
      <c r="I12" s="9" t="s">
        <v>939</v>
      </c>
      <c r="J12" s="9">
        <v>0</v>
      </c>
      <c r="K12" s="9">
        <v>0</v>
      </c>
      <c r="L12" s="9" t="s">
        <v>940</v>
      </c>
      <c r="M12" s="75">
        <v>0</v>
      </c>
      <c r="N12" s="78">
        <v>280194</v>
      </c>
      <c r="O12" s="81">
        <v>239686</v>
      </c>
      <c r="Q12" s="260" t="s">
        <v>957</v>
      </c>
      <c r="R12" s="260">
        <v>3</v>
      </c>
      <c r="S12" s="11" t="s">
        <v>937</v>
      </c>
      <c r="T12" s="11">
        <v>5</v>
      </c>
    </row>
    <row r="13" spans="1:20" x14ac:dyDescent="0.25">
      <c r="B13" s="5" t="s">
        <v>90</v>
      </c>
      <c r="C13" s="5" t="s">
        <v>2243</v>
      </c>
      <c r="D13" s="6">
        <v>14001</v>
      </c>
      <c r="E13" s="6">
        <v>2461150</v>
      </c>
      <c r="F13" s="1">
        <v>5.68880401438352E-3</v>
      </c>
      <c r="H13" s="32">
        <f t="shared" si="0"/>
        <v>0</v>
      </c>
      <c r="I13" s="9" t="s">
        <v>939</v>
      </c>
      <c r="J13" s="9">
        <v>0</v>
      </c>
      <c r="K13" s="9">
        <v>0</v>
      </c>
      <c r="L13" s="9" t="s">
        <v>940</v>
      </c>
      <c r="M13" s="75">
        <v>0</v>
      </c>
      <c r="N13" s="78">
        <v>31012</v>
      </c>
      <c r="O13" s="81">
        <v>14001</v>
      </c>
      <c r="Q13" s="261"/>
      <c r="R13" s="261"/>
      <c r="S13" s="11" t="s">
        <v>946</v>
      </c>
      <c r="T13" s="11">
        <v>6</v>
      </c>
    </row>
    <row r="14" spans="1:20" x14ac:dyDescent="0.25">
      <c r="A14" t="s">
        <v>978</v>
      </c>
      <c r="B14" s="5" t="s">
        <v>91</v>
      </c>
      <c r="C14" s="5" t="s">
        <v>979</v>
      </c>
      <c r="D14" s="6">
        <v>7384181</v>
      </c>
      <c r="E14" s="6">
        <v>1572008816</v>
      </c>
      <c r="F14" s="1">
        <v>4.6972898146901993E-3</v>
      </c>
      <c r="H14" s="32">
        <f t="shared" si="0"/>
        <v>8.4382478424981054E-3</v>
      </c>
      <c r="I14" s="9" t="s">
        <v>943</v>
      </c>
      <c r="J14" s="9">
        <v>2</v>
      </c>
      <c r="K14" s="9">
        <v>3</v>
      </c>
      <c r="L14" s="9" t="s">
        <v>938</v>
      </c>
      <c r="M14" s="75">
        <v>13265000</v>
      </c>
      <c r="N14" s="78">
        <v>18893520</v>
      </c>
      <c r="O14" s="81">
        <v>7384181</v>
      </c>
      <c r="Q14" s="262"/>
      <c r="R14" s="262"/>
      <c r="S14" s="11" t="s">
        <v>945</v>
      </c>
      <c r="T14" s="11">
        <v>7</v>
      </c>
    </row>
    <row r="15" spans="1:20" x14ac:dyDescent="0.25">
      <c r="B15" s="5" t="s">
        <v>92</v>
      </c>
      <c r="C15" s="5" t="s">
        <v>1661</v>
      </c>
      <c r="D15" s="6">
        <v>60488</v>
      </c>
      <c r="E15" s="6">
        <v>1990200</v>
      </c>
      <c r="F15" s="1">
        <v>3.0392925334137271E-2</v>
      </c>
      <c r="H15" s="32">
        <f t="shared" si="0"/>
        <v>0</v>
      </c>
      <c r="I15" s="9" t="s">
        <v>939</v>
      </c>
      <c r="J15" s="9">
        <v>0</v>
      </c>
      <c r="K15" s="9">
        <v>0</v>
      </c>
      <c r="L15" s="9" t="s">
        <v>940</v>
      </c>
      <c r="M15" s="75">
        <v>0</v>
      </c>
      <c r="N15" s="78">
        <v>22729</v>
      </c>
      <c r="O15" s="81">
        <v>60488</v>
      </c>
      <c r="Q15" s="260" t="s">
        <v>958</v>
      </c>
      <c r="R15" s="260">
        <v>4</v>
      </c>
      <c r="S15" s="11" t="s">
        <v>951</v>
      </c>
      <c r="T15" s="11">
        <v>8</v>
      </c>
    </row>
    <row r="16" spans="1:20" x14ac:dyDescent="0.25">
      <c r="A16" t="s">
        <v>980</v>
      </c>
      <c r="B16" s="5" t="s">
        <v>93</v>
      </c>
      <c r="C16" s="5" t="s">
        <v>981</v>
      </c>
      <c r="D16" s="6">
        <v>133714</v>
      </c>
      <c r="E16" s="6">
        <v>33998700</v>
      </c>
      <c r="F16" s="1">
        <v>3.9329150820472548E-3</v>
      </c>
      <c r="H16" s="32">
        <f t="shared" si="0"/>
        <v>0</v>
      </c>
      <c r="I16" s="9" t="s">
        <v>939</v>
      </c>
      <c r="J16" s="9">
        <v>0</v>
      </c>
      <c r="K16" s="9">
        <v>0</v>
      </c>
      <c r="L16" s="9" t="s">
        <v>940</v>
      </c>
      <c r="M16" s="75">
        <v>0</v>
      </c>
      <c r="N16" s="78">
        <v>327672</v>
      </c>
      <c r="O16" s="81">
        <v>133714</v>
      </c>
      <c r="Q16" s="261"/>
      <c r="R16" s="261"/>
      <c r="S16" s="11" t="s">
        <v>959</v>
      </c>
      <c r="T16" s="11">
        <v>9</v>
      </c>
    </row>
    <row r="17" spans="1:20" x14ac:dyDescent="0.25">
      <c r="A17" t="s">
        <v>982</v>
      </c>
      <c r="B17" s="5" t="s">
        <v>94</v>
      </c>
      <c r="C17" s="5" t="s">
        <v>983</v>
      </c>
      <c r="D17" s="6">
        <v>80006</v>
      </c>
      <c r="E17" s="6">
        <v>12146329</v>
      </c>
      <c r="F17" s="1">
        <v>6.5868461162216169E-3</v>
      </c>
      <c r="H17" s="32">
        <f t="shared" si="0"/>
        <v>0</v>
      </c>
      <c r="I17" s="9" t="s">
        <v>939</v>
      </c>
      <c r="J17" s="9">
        <v>0</v>
      </c>
      <c r="K17" s="9">
        <v>0</v>
      </c>
      <c r="L17" s="9" t="s">
        <v>940</v>
      </c>
      <c r="M17" s="75">
        <v>0</v>
      </c>
      <c r="N17" s="78">
        <v>155362</v>
      </c>
      <c r="O17" s="81">
        <v>80006</v>
      </c>
      <c r="Q17" s="262"/>
      <c r="R17" s="262"/>
      <c r="S17" s="11" t="s">
        <v>950</v>
      </c>
      <c r="T17" s="11">
        <v>10</v>
      </c>
    </row>
    <row r="18" spans="1:20" x14ac:dyDescent="0.25">
      <c r="A18" t="s">
        <v>984</v>
      </c>
      <c r="B18" s="5" t="s">
        <v>95</v>
      </c>
      <c r="C18" s="5" t="s">
        <v>985</v>
      </c>
      <c r="D18" s="6">
        <v>314685</v>
      </c>
      <c r="E18" s="6">
        <v>20959900</v>
      </c>
      <c r="F18" s="1">
        <v>1.5013668958344268E-2</v>
      </c>
      <c r="H18" s="32">
        <f t="shared" si="0"/>
        <v>0</v>
      </c>
      <c r="I18" s="9" t="s">
        <v>939</v>
      </c>
      <c r="J18" s="9">
        <v>0</v>
      </c>
      <c r="K18" s="9">
        <v>0</v>
      </c>
      <c r="L18" s="9" t="s">
        <v>940</v>
      </c>
      <c r="M18" s="75">
        <v>0</v>
      </c>
      <c r="N18" s="78">
        <v>236020</v>
      </c>
      <c r="O18" s="81">
        <v>314685</v>
      </c>
      <c r="Q18" s="260" t="s">
        <v>960</v>
      </c>
      <c r="R18" s="260">
        <v>5</v>
      </c>
      <c r="S18" s="11" t="s">
        <v>961</v>
      </c>
      <c r="T18" s="11">
        <v>11</v>
      </c>
    </row>
    <row r="19" spans="1:20" x14ac:dyDescent="0.25">
      <c r="B19" s="5" t="s">
        <v>96</v>
      </c>
      <c r="C19" s="5" t="s">
        <v>1834</v>
      </c>
      <c r="D19" s="6">
        <v>12806224</v>
      </c>
      <c r="E19" s="6">
        <v>3543982153</v>
      </c>
      <c r="F19" s="1">
        <v>4.2085931463775065E-3</v>
      </c>
      <c r="H19" s="32">
        <f t="shared" si="0"/>
        <v>1.2184034268752707E-2</v>
      </c>
      <c r="I19" s="9" t="s">
        <v>941</v>
      </c>
      <c r="J19" s="9">
        <v>2</v>
      </c>
      <c r="K19" s="9">
        <v>2</v>
      </c>
      <c r="L19" s="9" t="s">
        <v>938</v>
      </c>
      <c r="M19" s="75">
        <v>43180000</v>
      </c>
      <c r="N19" s="78">
        <v>35899412</v>
      </c>
      <c r="O19" s="81">
        <v>12806224</v>
      </c>
      <c r="Q19" s="261"/>
      <c r="R19" s="261"/>
      <c r="S19" s="11" t="s">
        <v>948</v>
      </c>
      <c r="T19" s="11">
        <v>12</v>
      </c>
    </row>
    <row r="20" spans="1:20" x14ac:dyDescent="0.25">
      <c r="B20" s="5" t="s">
        <v>97</v>
      </c>
      <c r="C20" s="5" t="s">
        <v>1884</v>
      </c>
      <c r="D20" s="6">
        <v>1548899</v>
      </c>
      <c r="E20" s="6">
        <v>255107200</v>
      </c>
      <c r="F20" s="1">
        <v>6.0715612887444967E-3</v>
      </c>
      <c r="H20" s="32">
        <f t="shared" si="0"/>
        <v>3.13593657881863E-4</v>
      </c>
      <c r="I20" s="9" t="s">
        <v>942</v>
      </c>
      <c r="J20" s="9">
        <v>2</v>
      </c>
      <c r="K20" s="9">
        <v>4</v>
      </c>
      <c r="L20" s="9" t="s">
        <v>938</v>
      </c>
      <c r="M20" s="75">
        <v>80000</v>
      </c>
      <c r="N20" s="78">
        <v>2838295</v>
      </c>
      <c r="O20" s="81">
        <v>1548899</v>
      </c>
      <c r="Q20" s="262"/>
      <c r="R20" s="262"/>
      <c r="S20" s="11" t="s">
        <v>962</v>
      </c>
      <c r="T20" s="11">
        <v>13</v>
      </c>
    </row>
    <row r="21" spans="1:20" x14ac:dyDescent="0.25">
      <c r="B21" s="5" t="s">
        <v>98</v>
      </c>
      <c r="C21" s="5" t="s">
        <v>1626</v>
      </c>
      <c r="D21" s="6">
        <v>6032207</v>
      </c>
      <c r="E21" s="6">
        <v>1704863270</v>
      </c>
      <c r="F21" s="1">
        <v>4.3672909910247521E-3</v>
      </c>
      <c r="H21" s="32">
        <f t="shared" si="0"/>
        <v>8.704510362288467E-3</v>
      </c>
      <c r="I21" s="9" t="s">
        <v>941</v>
      </c>
      <c r="J21" s="9">
        <v>2</v>
      </c>
      <c r="K21" s="9">
        <v>2</v>
      </c>
      <c r="L21" s="9" t="s">
        <v>938</v>
      </c>
      <c r="M21" s="75">
        <v>14840000</v>
      </c>
      <c r="N21" s="78">
        <v>17610518</v>
      </c>
      <c r="O21" s="81">
        <v>6032207</v>
      </c>
      <c r="Q21" s="263" t="s">
        <v>963</v>
      </c>
      <c r="R21" s="263">
        <v>6</v>
      </c>
      <c r="S21" s="11" t="s">
        <v>947</v>
      </c>
      <c r="T21" s="11">
        <v>14</v>
      </c>
    </row>
    <row r="22" spans="1:20" x14ac:dyDescent="0.25">
      <c r="B22" s="5" t="s">
        <v>99</v>
      </c>
      <c r="C22" s="5" t="s">
        <v>1450</v>
      </c>
      <c r="D22" s="6">
        <v>24144601</v>
      </c>
      <c r="E22" s="6">
        <v>6322184836</v>
      </c>
      <c r="F22" s="1">
        <v>4.5206824446598634E-3</v>
      </c>
      <c r="H22" s="32">
        <f t="shared" si="0"/>
        <v>2.4967634464143655E-3</v>
      </c>
      <c r="I22" s="9" t="s">
        <v>944</v>
      </c>
      <c r="J22" s="9">
        <v>1</v>
      </c>
      <c r="K22" s="9">
        <v>1</v>
      </c>
      <c r="L22" s="9" t="s">
        <v>938</v>
      </c>
      <c r="M22" s="75">
        <v>15785000</v>
      </c>
      <c r="N22" s="78">
        <v>63212501</v>
      </c>
      <c r="O22" s="81">
        <v>24144601</v>
      </c>
      <c r="Q22" s="264"/>
      <c r="R22" s="264"/>
      <c r="S22" s="11" t="s">
        <v>964</v>
      </c>
      <c r="T22" s="11">
        <v>15</v>
      </c>
    </row>
    <row r="23" spans="1:20" x14ac:dyDescent="0.25">
      <c r="A23" t="s">
        <v>986</v>
      </c>
      <c r="B23" s="5" t="s">
        <v>100</v>
      </c>
      <c r="C23" s="5" t="s">
        <v>987</v>
      </c>
      <c r="D23" s="6">
        <v>1134204</v>
      </c>
      <c r="E23" s="6">
        <v>55619880</v>
      </c>
      <c r="F23" s="1">
        <v>2.0392061255795589E-2</v>
      </c>
      <c r="H23" s="32">
        <f t="shared" si="0"/>
        <v>4.3887185660954321E-2</v>
      </c>
      <c r="I23" s="9" t="s">
        <v>945</v>
      </c>
      <c r="J23" s="9">
        <v>3</v>
      </c>
      <c r="K23" s="9">
        <v>7</v>
      </c>
      <c r="L23" s="9" t="s">
        <v>938</v>
      </c>
      <c r="M23" s="75">
        <v>2441000</v>
      </c>
      <c r="N23" s="78">
        <v>794693</v>
      </c>
      <c r="O23" s="81">
        <v>1134204</v>
      </c>
      <c r="Q23" s="265"/>
      <c r="R23" s="265"/>
      <c r="S23" s="11" t="s">
        <v>965</v>
      </c>
      <c r="T23" s="11">
        <v>16</v>
      </c>
    </row>
    <row r="24" spans="1:20" x14ac:dyDescent="0.25">
      <c r="B24" s="5" t="s">
        <v>101</v>
      </c>
      <c r="C24" s="5" t="s">
        <v>1979</v>
      </c>
      <c r="D24" s="6">
        <v>46007</v>
      </c>
      <c r="E24" s="6">
        <v>1037360</v>
      </c>
      <c r="F24" s="1">
        <v>4.4350080974782137E-2</v>
      </c>
      <c r="H24" s="32">
        <f t="shared" si="0"/>
        <v>0</v>
      </c>
      <c r="I24" s="9" t="s">
        <v>939</v>
      </c>
      <c r="J24" s="9">
        <v>0</v>
      </c>
      <c r="K24" s="9">
        <v>0</v>
      </c>
      <c r="L24" s="9" t="s">
        <v>940</v>
      </c>
      <c r="M24" s="75">
        <v>0</v>
      </c>
      <c r="N24" s="78">
        <v>10553</v>
      </c>
      <c r="O24" s="81">
        <v>46007</v>
      </c>
    </row>
    <row r="25" spans="1:20" x14ac:dyDescent="0.25">
      <c r="B25" s="5" t="s">
        <v>102</v>
      </c>
      <c r="C25" s="5" t="s">
        <v>2033</v>
      </c>
      <c r="D25" s="6">
        <v>3940867</v>
      </c>
      <c r="E25" s="6">
        <v>1442110600</v>
      </c>
      <c r="F25" s="1">
        <v>2.9724932331819764E-3</v>
      </c>
      <c r="H25" s="32">
        <f t="shared" si="0"/>
        <v>0</v>
      </c>
      <c r="I25" s="9" t="s">
        <v>944</v>
      </c>
      <c r="J25" s="9">
        <v>1</v>
      </c>
      <c r="K25" s="9">
        <v>1</v>
      </c>
      <c r="L25" s="9" t="s">
        <v>938</v>
      </c>
      <c r="M25" s="75">
        <v>0</v>
      </c>
      <c r="N25" s="78">
        <v>15681109</v>
      </c>
      <c r="O25" s="81">
        <v>3940867</v>
      </c>
    </row>
    <row r="26" spans="1:20" x14ac:dyDescent="0.25">
      <c r="B26" s="5" t="s">
        <v>103</v>
      </c>
      <c r="C26" s="5" t="s">
        <v>1767</v>
      </c>
      <c r="D26" s="6">
        <v>166046</v>
      </c>
      <c r="E26" s="6">
        <v>29307119</v>
      </c>
      <c r="F26" s="1">
        <v>5.6657223796033997E-3</v>
      </c>
      <c r="H26" s="32">
        <f t="shared" si="0"/>
        <v>0</v>
      </c>
      <c r="I26" s="9" t="s">
        <v>939</v>
      </c>
      <c r="J26" s="9">
        <v>0</v>
      </c>
      <c r="K26" s="9">
        <v>0</v>
      </c>
      <c r="L26" s="9" t="s">
        <v>940</v>
      </c>
      <c r="M26" s="75">
        <v>0</v>
      </c>
      <c r="N26" s="78">
        <v>336240</v>
      </c>
      <c r="O26" s="81">
        <v>166046</v>
      </c>
    </row>
    <row r="27" spans="1:20" x14ac:dyDescent="0.25">
      <c r="A27" t="s">
        <v>988</v>
      </c>
      <c r="B27" s="5" t="s">
        <v>104</v>
      </c>
      <c r="C27" s="5" t="s">
        <v>989</v>
      </c>
      <c r="D27" s="6">
        <v>959614</v>
      </c>
      <c r="E27" s="6">
        <v>110532356</v>
      </c>
      <c r="F27" s="1">
        <v>8.6817474513978515E-3</v>
      </c>
      <c r="H27" s="32">
        <f t="shared" si="0"/>
        <v>0</v>
      </c>
      <c r="I27" s="9" t="s">
        <v>942</v>
      </c>
      <c r="J27" s="9">
        <v>2</v>
      </c>
      <c r="K27" s="9">
        <v>4</v>
      </c>
      <c r="L27" s="9" t="s">
        <v>938</v>
      </c>
      <c r="M27" s="75">
        <v>0</v>
      </c>
      <c r="N27" s="78">
        <v>1221470</v>
      </c>
      <c r="O27" s="81">
        <v>959614</v>
      </c>
    </row>
    <row r="28" spans="1:20" x14ac:dyDescent="0.25">
      <c r="A28" t="s">
        <v>990</v>
      </c>
      <c r="B28" s="5" t="s">
        <v>105</v>
      </c>
      <c r="C28" s="5" t="s">
        <v>991</v>
      </c>
      <c r="D28" s="6">
        <v>222306</v>
      </c>
      <c r="E28" s="6">
        <v>19746184</v>
      </c>
      <c r="F28" s="1">
        <v>1.1258175250468648E-2</v>
      </c>
      <c r="H28" s="32">
        <f t="shared" si="0"/>
        <v>0</v>
      </c>
      <c r="I28" s="9" t="s">
        <v>946</v>
      </c>
      <c r="J28" s="9">
        <v>3</v>
      </c>
      <c r="K28" s="9">
        <v>6</v>
      </c>
      <c r="L28" s="9" t="s">
        <v>938</v>
      </c>
      <c r="M28" s="75">
        <v>0</v>
      </c>
      <c r="N28" s="78">
        <v>206326</v>
      </c>
      <c r="O28" s="81">
        <v>222306</v>
      </c>
    </row>
    <row r="29" spans="1:20" x14ac:dyDescent="0.25">
      <c r="B29" s="5" t="s">
        <v>106</v>
      </c>
      <c r="C29" s="5" t="s">
        <v>1795</v>
      </c>
      <c r="D29" s="6">
        <v>178583</v>
      </c>
      <c r="E29" s="6">
        <v>12407500</v>
      </c>
      <c r="F29" s="1">
        <v>1.4393149304855933E-2</v>
      </c>
      <c r="H29" s="32">
        <f t="shared" si="0"/>
        <v>0</v>
      </c>
      <c r="I29" s="9" t="s">
        <v>939</v>
      </c>
      <c r="J29" s="9">
        <v>0</v>
      </c>
      <c r="K29" s="9">
        <v>0</v>
      </c>
      <c r="L29" s="9" t="s">
        <v>940</v>
      </c>
      <c r="M29" s="75">
        <v>0</v>
      </c>
      <c r="N29" s="78">
        <v>144017</v>
      </c>
      <c r="O29" s="81">
        <v>178583</v>
      </c>
    </row>
    <row r="30" spans="1:20" x14ac:dyDescent="0.25">
      <c r="B30" s="5" t="s">
        <v>107</v>
      </c>
      <c r="C30" s="5" t="s">
        <v>1707</v>
      </c>
      <c r="D30" s="6">
        <v>552319</v>
      </c>
      <c r="E30" s="6">
        <v>47258800</v>
      </c>
      <c r="F30" s="1">
        <v>1.1687114357537644E-2</v>
      </c>
      <c r="H30" s="32">
        <f t="shared" si="0"/>
        <v>0</v>
      </c>
      <c r="I30" s="9" t="s">
        <v>939</v>
      </c>
      <c r="J30" s="9">
        <v>0</v>
      </c>
      <c r="K30" s="9">
        <v>0</v>
      </c>
      <c r="L30" s="9" t="s">
        <v>940</v>
      </c>
      <c r="M30" s="75">
        <v>0</v>
      </c>
      <c r="N30" s="78">
        <v>559286</v>
      </c>
      <c r="O30" s="81">
        <v>552319</v>
      </c>
    </row>
    <row r="31" spans="1:20" x14ac:dyDescent="0.25">
      <c r="B31" s="5" t="s">
        <v>108</v>
      </c>
      <c r="C31" s="5" t="s">
        <v>1478</v>
      </c>
      <c r="D31" s="6">
        <v>262620</v>
      </c>
      <c r="E31" s="6">
        <v>24476800</v>
      </c>
      <c r="F31" s="1">
        <v>1.0729343705059485E-2</v>
      </c>
      <c r="H31" s="32">
        <f t="shared" si="0"/>
        <v>0</v>
      </c>
      <c r="I31" s="9" t="s">
        <v>937</v>
      </c>
      <c r="J31" s="9">
        <v>3</v>
      </c>
      <c r="K31" s="9">
        <v>5</v>
      </c>
      <c r="L31" s="9" t="s">
        <v>938</v>
      </c>
      <c r="M31" s="75">
        <v>0</v>
      </c>
      <c r="N31" s="78">
        <v>298177</v>
      </c>
      <c r="O31" s="81">
        <v>262620</v>
      </c>
    </row>
    <row r="32" spans="1:20" x14ac:dyDescent="0.25">
      <c r="A32" t="s">
        <v>992</v>
      </c>
      <c r="B32" s="5" t="s">
        <v>109</v>
      </c>
      <c r="C32" s="5" t="s">
        <v>993</v>
      </c>
      <c r="D32" s="6">
        <v>941135</v>
      </c>
      <c r="E32" s="6">
        <v>46429489</v>
      </c>
      <c r="F32" s="1">
        <v>2.9049619736284411E-2</v>
      </c>
      <c r="H32" s="32">
        <f t="shared" si="0"/>
        <v>0</v>
      </c>
      <c r="I32" s="9" t="s">
        <v>939</v>
      </c>
      <c r="J32" s="9">
        <v>0</v>
      </c>
      <c r="K32" s="9">
        <v>0</v>
      </c>
      <c r="L32" s="9" t="s">
        <v>940</v>
      </c>
      <c r="M32" s="75">
        <v>0</v>
      </c>
      <c r="N32" s="78">
        <v>488383</v>
      </c>
      <c r="O32" s="81">
        <v>941135</v>
      </c>
    </row>
    <row r="33" spans="1:15" x14ac:dyDescent="0.25">
      <c r="A33" t="s">
        <v>994</v>
      </c>
      <c r="B33" s="5" t="s">
        <v>110</v>
      </c>
      <c r="C33" s="5" t="s">
        <v>995</v>
      </c>
      <c r="D33" s="6">
        <v>7436013</v>
      </c>
      <c r="E33" s="6">
        <v>1206906200</v>
      </c>
      <c r="F33" s="1">
        <v>6.1612186597434001E-3</v>
      </c>
      <c r="H33" s="32">
        <f t="shared" si="0"/>
        <v>1.1732477635793071E-2</v>
      </c>
      <c r="I33" s="9" t="s">
        <v>939</v>
      </c>
      <c r="J33" s="9">
        <v>0</v>
      </c>
      <c r="K33" s="9">
        <v>0</v>
      </c>
      <c r="L33" s="9" t="s">
        <v>940</v>
      </c>
      <c r="M33" s="75">
        <v>14160000</v>
      </c>
      <c r="N33" s="78">
        <v>13729806</v>
      </c>
      <c r="O33" s="81">
        <v>7436013</v>
      </c>
    </row>
    <row r="34" spans="1:15" x14ac:dyDescent="0.25">
      <c r="B34" s="5" t="s">
        <v>111</v>
      </c>
      <c r="C34" s="5" t="s">
        <v>1908</v>
      </c>
      <c r="D34" s="6">
        <v>54505</v>
      </c>
      <c r="E34" s="6">
        <v>7552123</v>
      </c>
      <c r="F34" s="1">
        <v>7.2171758855092798E-3</v>
      </c>
      <c r="H34" s="32">
        <f t="shared" si="0"/>
        <v>0</v>
      </c>
      <c r="I34" s="9" t="s">
        <v>939</v>
      </c>
      <c r="J34" s="9">
        <v>0</v>
      </c>
      <c r="K34" s="9">
        <v>0</v>
      </c>
      <c r="L34" s="9" t="s">
        <v>940</v>
      </c>
      <c r="M34" s="75">
        <v>0</v>
      </c>
      <c r="N34" s="78">
        <v>87957</v>
      </c>
      <c r="O34" s="81">
        <v>54505</v>
      </c>
    </row>
    <row r="35" spans="1:15" x14ac:dyDescent="0.25">
      <c r="A35" t="s">
        <v>996</v>
      </c>
      <c r="B35" s="5" t="s">
        <v>112</v>
      </c>
      <c r="C35" s="5" t="s">
        <v>997</v>
      </c>
      <c r="D35" s="6">
        <v>1059994</v>
      </c>
      <c r="E35" s="6">
        <v>142472200</v>
      </c>
      <c r="F35" s="1">
        <v>7.4400058397357518E-3</v>
      </c>
      <c r="H35" s="32">
        <f t="shared" si="0"/>
        <v>8.6051875383408132E-3</v>
      </c>
      <c r="I35" s="9" t="s">
        <v>942</v>
      </c>
      <c r="J35" s="9">
        <v>2</v>
      </c>
      <c r="K35" s="9">
        <v>4</v>
      </c>
      <c r="L35" s="9" t="s">
        <v>938</v>
      </c>
      <c r="M35" s="75">
        <v>1226000</v>
      </c>
      <c r="N35" s="78">
        <v>1594081</v>
      </c>
      <c r="O35" s="81">
        <v>1059994</v>
      </c>
    </row>
    <row r="36" spans="1:15" x14ac:dyDescent="0.25">
      <c r="B36" s="5" t="s">
        <v>113</v>
      </c>
      <c r="C36" s="5" t="s">
        <v>1799</v>
      </c>
      <c r="D36" s="6">
        <v>978040</v>
      </c>
      <c r="E36" s="6">
        <v>72986599</v>
      </c>
      <c r="F36" s="1">
        <v>1.5514039775986822E-2</v>
      </c>
      <c r="H36" s="32">
        <f t="shared" si="0"/>
        <v>5.857239628332319E-2</v>
      </c>
      <c r="I36" s="9" t="s">
        <v>937</v>
      </c>
      <c r="J36" s="9">
        <v>3</v>
      </c>
      <c r="K36" s="9">
        <v>5</v>
      </c>
      <c r="L36" s="9" t="s">
        <v>938</v>
      </c>
      <c r="M36" s="75">
        <v>4275000</v>
      </c>
      <c r="N36" s="78">
        <v>772387</v>
      </c>
      <c r="O36" s="81">
        <v>978040</v>
      </c>
    </row>
    <row r="37" spans="1:15" x14ac:dyDescent="0.25">
      <c r="B37" s="5" t="s">
        <v>114</v>
      </c>
      <c r="C37" s="5" t="s">
        <v>1741</v>
      </c>
      <c r="D37" s="6">
        <v>158997</v>
      </c>
      <c r="E37" s="6">
        <v>19224405</v>
      </c>
      <c r="F37" s="1">
        <v>8.270581066098015E-3</v>
      </c>
      <c r="H37" s="32">
        <f t="shared" si="0"/>
        <v>0</v>
      </c>
      <c r="I37" s="9" t="s">
        <v>939</v>
      </c>
      <c r="J37" s="9">
        <v>0</v>
      </c>
      <c r="K37" s="9">
        <v>0</v>
      </c>
      <c r="L37" s="9" t="s">
        <v>940</v>
      </c>
      <c r="M37" s="75">
        <v>0</v>
      </c>
      <c r="N37" s="78">
        <v>208886</v>
      </c>
      <c r="O37" s="81">
        <v>158997</v>
      </c>
    </row>
    <row r="38" spans="1:15" x14ac:dyDescent="0.25">
      <c r="B38" s="5" t="s">
        <v>115</v>
      </c>
      <c r="C38" s="5" t="s">
        <v>1717</v>
      </c>
      <c r="D38" s="6">
        <v>147806</v>
      </c>
      <c r="E38" s="6">
        <v>13779000</v>
      </c>
      <c r="F38" s="1">
        <v>1.0812032803541621E-2</v>
      </c>
      <c r="H38" s="32">
        <f t="shared" si="0"/>
        <v>1.0378111619130562E-2</v>
      </c>
      <c r="I38" s="9" t="s">
        <v>939</v>
      </c>
      <c r="J38" s="9">
        <v>0</v>
      </c>
      <c r="K38" s="9">
        <v>0</v>
      </c>
      <c r="L38" s="9" t="s">
        <v>940</v>
      </c>
      <c r="M38" s="75">
        <v>143000</v>
      </c>
      <c r="N38" s="78">
        <v>150040</v>
      </c>
      <c r="O38" s="81">
        <v>147806</v>
      </c>
    </row>
    <row r="39" spans="1:15" x14ac:dyDescent="0.25">
      <c r="B39" s="5" t="s">
        <v>116</v>
      </c>
      <c r="C39" s="5" t="s">
        <v>1848</v>
      </c>
      <c r="D39" s="6">
        <v>639196</v>
      </c>
      <c r="E39" s="6">
        <v>58464300</v>
      </c>
      <c r="F39" s="1">
        <v>1.0933099344386233E-2</v>
      </c>
      <c r="H39" s="32">
        <f t="shared" si="0"/>
        <v>0</v>
      </c>
      <c r="I39" s="9" t="s">
        <v>946</v>
      </c>
      <c r="J39" s="9">
        <v>3</v>
      </c>
      <c r="K39" s="9">
        <v>6</v>
      </c>
      <c r="L39" s="9" t="s">
        <v>938</v>
      </c>
      <c r="M39" s="75">
        <v>0</v>
      </c>
      <c r="N39" s="78">
        <v>679073</v>
      </c>
      <c r="O39" s="81">
        <v>639196</v>
      </c>
    </row>
    <row r="40" spans="1:15" x14ac:dyDescent="0.25">
      <c r="B40" s="5" t="s">
        <v>117</v>
      </c>
      <c r="C40" s="5" t="s">
        <v>1512</v>
      </c>
      <c r="D40" s="6">
        <v>531193</v>
      </c>
      <c r="E40" s="6">
        <v>23684337</v>
      </c>
      <c r="F40" s="1">
        <v>2.2428029123213372E-2</v>
      </c>
      <c r="H40" s="32">
        <f t="shared" si="0"/>
        <v>4.3953098623786685E-2</v>
      </c>
      <c r="I40" s="9" t="s">
        <v>948</v>
      </c>
      <c r="J40" s="9">
        <v>5</v>
      </c>
      <c r="K40" s="9">
        <v>12</v>
      </c>
      <c r="L40" s="9" t="s">
        <v>938</v>
      </c>
      <c r="M40" s="75">
        <v>1041000</v>
      </c>
      <c r="N40" s="78">
        <v>271011</v>
      </c>
      <c r="O40" s="81">
        <v>531193</v>
      </c>
    </row>
    <row r="41" spans="1:15" x14ac:dyDescent="0.25">
      <c r="A41" t="s">
        <v>998</v>
      </c>
      <c r="B41" s="5" t="s">
        <v>118</v>
      </c>
      <c r="C41" s="5" t="s">
        <v>999</v>
      </c>
      <c r="D41" s="6">
        <v>877204</v>
      </c>
      <c r="E41" s="6">
        <v>165682600</v>
      </c>
      <c r="F41" s="1">
        <v>5.2944847557920985E-3</v>
      </c>
      <c r="H41" s="32">
        <f t="shared" si="0"/>
        <v>9.9588007431076044E-4</v>
      </c>
      <c r="I41" s="9" t="s">
        <v>937</v>
      </c>
      <c r="J41" s="9">
        <v>3</v>
      </c>
      <c r="K41" s="9">
        <v>5</v>
      </c>
      <c r="L41" s="9" t="s">
        <v>938</v>
      </c>
      <c r="M41" s="75">
        <v>165000</v>
      </c>
      <c r="N41" s="78">
        <v>1627880</v>
      </c>
      <c r="O41" s="81">
        <v>877204</v>
      </c>
    </row>
    <row r="42" spans="1:15" x14ac:dyDescent="0.25">
      <c r="B42" s="5" t="s">
        <v>119</v>
      </c>
      <c r="C42" s="5" t="s">
        <v>1571</v>
      </c>
      <c r="D42" s="6">
        <v>224393</v>
      </c>
      <c r="E42" s="6">
        <v>22660670</v>
      </c>
      <c r="F42" s="1">
        <v>9.9023109201978581E-3</v>
      </c>
      <c r="H42" s="32">
        <f t="shared" si="0"/>
        <v>0.1171633495390913</v>
      </c>
      <c r="I42" s="9" t="s">
        <v>939</v>
      </c>
      <c r="J42" s="9">
        <v>0</v>
      </c>
      <c r="K42" s="9">
        <v>0</v>
      </c>
      <c r="L42" s="9" t="s">
        <v>940</v>
      </c>
      <c r="M42" s="75">
        <v>2655000</v>
      </c>
      <c r="N42" s="78">
        <v>264928</v>
      </c>
      <c r="O42" s="81">
        <v>224393</v>
      </c>
    </row>
    <row r="43" spans="1:15" x14ac:dyDescent="0.25">
      <c r="B43" s="5" t="s">
        <v>120</v>
      </c>
      <c r="C43" s="5" t="s">
        <v>1489</v>
      </c>
      <c r="D43" s="6">
        <v>166366</v>
      </c>
      <c r="E43" s="6">
        <v>22597343</v>
      </c>
      <c r="F43" s="1">
        <v>7.3621929799445891E-3</v>
      </c>
      <c r="H43" s="32">
        <f t="shared" si="0"/>
        <v>0</v>
      </c>
      <c r="I43" s="9" t="s">
        <v>939</v>
      </c>
      <c r="J43" s="9">
        <v>0</v>
      </c>
      <c r="K43" s="9">
        <v>0</v>
      </c>
      <c r="L43" s="9" t="s">
        <v>940</v>
      </c>
      <c r="M43" s="75">
        <v>0</v>
      </c>
      <c r="N43" s="78">
        <v>247900</v>
      </c>
      <c r="O43" s="81">
        <v>166366</v>
      </c>
    </row>
    <row r="44" spans="1:15" x14ac:dyDescent="0.25">
      <c r="B44" s="5" t="s">
        <v>121</v>
      </c>
      <c r="C44" s="5" t="s">
        <v>2244</v>
      </c>
      <c r="D44" s="6">
        <v>9503</v>
      </c>
      <c r="E44" s="6">
        <v>2452945</v>
      </c>
      <c r="F44" s="1">
        <v>3.8741186614457317E-3</v>
      </c>
      <c r="H44" s="32">
        <f t="shared" si="0"/>
        <v>0</v>
      </c>
      <c r="I44" s="9" t="s">
        <v>939</v>
      </c>
      <c r="J44" s="9">
        <v>0</v>
      </c>
      <c r="K44" s="9">
        <v>0</v>
      </c>
      <c r="L44" s="9" t="s">
        <v>940</v>
      </c>
      <c r="M44" s="75">
        <v>0</v>
      </c>
      <c r="N44" s="78">
        <v>33313</v>
      </c>
      <c r="O44" s="81">
        <v>9503</v>
      </c>
    </row>
    <row r="45" spans="1:15" x14ac:dyDescent="0.25">
      <c r="B45" s="5" t="s">
        <v>122</v>
      </c>
      <c r="C45" s="5" t="s">
        <v>1643</v>
      </c>
      <c r="D45" s="6">
        <v>760009</v>
      </c>
      <c r="E45" s="6">
        <v>101920500</v>
      </c>
      <c r="F45" s="1">
        <v>7.4568806079248042E-3</v>
      </c>
      <c r="H45" s="32">
        <f t="shared" si="0"/>
        <v>0</v>
      </c>
      <c r="I45" s="9" t="s">
        <v>942</v>
      </c>
      <c r="J45" s="9">
        <v>2</v>
      </c>
      <c r="K45" s="9">
        <v>4</v>
      </c>
      <c r="L45" s="9" t="s">
        <v>938</v>
      </c>
      <c r="M45" s="75">
        <v>0</v>
      </c>
      <c r="N45" s="78">
        <v>1043964</v>
      </c>
      <c r="O45" s="81">
        <v>760009</v>
      </c>
    </row>
    <row r="46" spans="1:15" x14ac:dyDescent="0.25">
      <c r="B46" s="5" t="s">
        <v>123</v>
      </c>
      <c r="C46" s="5" t="s">
        <v>1765</v>
      </c>
      <c r="D46" s="6">
        <v>519002</v>
      </c>
      <c r="E46" s="6">
        <v>74071112</v>
      </c>
      <c r="F46" s="1">
        <v>7.0068071882058418E-3</v>
      </c>
      <c r="H46" s="32">
        <f t="shared" si="0"/>
        <v>4.0501619578763711E-3</v>
      </c>
      <c r="I46" s="9" t="s">
        <v>946</v>
      </c>
      <c r="J46" s="9">
        <v>3</v>
      </c>
      <c r="K46" s="9">
        <v>6</v>
      </c>
      <c r="L46" s="9" t="s">
        <v>938</v>
      </c>
      <c r="M46" s="75">
        <v>300000</v>
      </c>
      <c r="N46" s="78">
        <v>1037896</v>
      </c>
      <c r="O46" s="81">
        <v>519002</v>
      </c>
    </row>
    <row r="47" spans="1:15" x14ac:dyDescent="0.25">
      <c r="B47" s="5" t="s">
        <v>124</v>
      </c>
      <c r="C47" s="5" t="s">
        <v>1873</v>
      </c>
      <c r="D47" s="6">
        <v>7256712</v>
      </c>
      <c r="E47" s="6">
        <v>1004814031</v>
      </c>
      <c r="F47" s="1">
        <v>7.221945331294841E-3</v>
      </c>
      <c r="H47" s="32">
        <f t="shared" si="0"/>
        <v>1.4181728718316434E-3</v>
      </c>
      <c r="I47" s="9" t="s">
        <v>939</v>
      </c>
      <c r="J47" s="9">
        <v>0</v>
      </c>
      <c r="K47" s="9">
        <v>0</v>
      </c>
      <c r="L47" s="9" t="s">
        <v>940</v>
      </c>
      <c r="M47" s="75">
        <v>1425000</v>
      </c>
      <c r="N47" s="78">
        <v>12785913</v>
      </c>
      <c r="O47" s="81">
        <v>7256712</v>
      </c>
    </row>
    <row r="48" spans="1:15" x14ac:dyDescent="0.25">
      <c r="B48" s="5" t="s">
        <v>125</v>
      </c>
      <c r="C48" s="5" t="s">
        <v>1521</v>
      </c>
      <c r="D48" s="6">
        <v>1246896</v>
      </c>
      <c r="E48" s="6">
        <v>352179900</v>
      </c>
      <c r="F48" s="1">
        <v>4.2394128682528443E-3</v>
      </c>
      <c r="H48" s="32">
        <f t="shared" si="0"/>
        <v>4.1314112474902746E-3</v>
      </c>
      <c r="I48" s="9" t="s">
        <v>939</v>
      </c>
      <c r="J48" s="9">
        <v>0</v>
      </c>
      <c r="K48" s="9">
        <v>0</v>
      </c>
      <c r="L48" s="9" t="s">
        <v>940</v>
      </c>
      <c r="M48" s="75">
        <v>1455000</v>
      </c>
      <c r="N48" s="78">
        <v>3689963</v>
      </c>
      <c r="O48" s="81">
        <v>1246896</v>
      </c>
    </row>
    <row r="49" spans="1:15" x14ac:dyDescent="0.25">
      <c r="B49" s="5" t="s">
        <v>126</v>
      </c>
      <c r="C49" s="5" t="s">
        <v>1923</v>
      </c>
      <c r="D49" s="6">
        <v>38406</v>
      </c>
      <c r="E49" s="6">
        <v>7791152</v>
      </c>
      <c r="F49" s="1">
        <v>4.9294379059733398E-3</v>
      </c>
      <c r="H49" s="32">
        <f t="shared" si="0"/>
        <v>2.567014480015279E-2</v>
      </c>
      <c r="I49" s="9" t="s">
        <v>939</v>
      </c>
      <c r="J49" s="9">
        <v>0</v>
      </c>
      <c r="K49" s="9">
        <v>0</v>
      </c>
      <c r="L49" s="9" t="s">
        <v>940</v>
      </c>
      <c r="M49" s="75">
        <v>200000</v>
      </c>
      <c r="N49" s="78">
        <v>117155</v>
      </c>
      <c r="O49" s="81">
        <v>38406</v>
      </c>
    </row>
    <row r="50" spans="1:15" x14ac:dyDescent="0.25">
      <c r="B50" s="5" t="s">
        <v>127</v>
      </c>
      <c r="C50" s="5" t="s">
        <v>1792</v>
      </c>
      <c r="D50" s="6">
        <v>318951</v>
      </c>
      <c r="E50" s="6">
        <v>38138865</v>
      </c>
      <c r="F50" s="1">
        <v>8.4651706336829891E-3</v>
      </c>
      <c r="H50" s="32">
        <f t="shared" si="0"/>
        <v>0</v>
      </c>
      <c r="I50" s="9" t="s">
        <v>939</v>
      </c>
      <c r="J50" s="9">
        <v>0</v>
      </c>
      <c r="K50" s="9">
        <v>0</v>
      </c>
      <c r="L50" s="9" t="s">
        <v>940</v>
      </c>
      <c r="M50" s="75">
        <v>0</v>
      </c>
      <c r="N50" s="78">
        <v>451828</v>
      </c>
      <c r="O50" s="81">
        <v>318951</v>
      </c>
    </row>
    <row r="51" spans="1:15" x14ac:dyDescent="0.25">
      <c r="B51" s="5" t="s">
        <v>128</v>
      </c>
      <c r="C51" s="5" t="s">
        <v>1666</v>
      </c>
      <c r="D51" s="6">
        <v>120610</v>
      </c>
      <c r="E51" s="6">
        <v>14374410</v>
      </c>
      <c r="F51" s="1">
        <v>8.3906052491893573E-3</v>
      </c>
      <c r="H51" s="32">
        <f t="shared" si="0"/>
        <v>0</v>
      </c>
      <c r="I51" s="9" t="s">
        <v>939</v>
      </c>
      <c r="J51" s="9">
        <v>0</v>
      </c>
      <c r="K51" s="9">
        <v>0</v>
      </c>
      <c r="L51" s="9" t="s">
        <v>940</v>
      </c>
      <c r="M51" s="75">
        <v>0</v>
      </c>
      <c r="N51" s="78">
        <v>158861</v>
      </c>
      <c r="O51" s="81">
        <v>120610</v>
      </c>
    </row>
    <row r="52" spans="1:15" x14ac:dyDescent="0.25">
      <c r="B52" s="5" t="s">
        <v>129</v>
      </c>
      <c r="C52" s="5" t="s">
        <v>1828</v>
      </c>
      <c r="D52" s="6">
        <v>7935122</v>
      </c>
      <c r="E52" s="6">
        <v>1097422894</v>
      </c>
      <c r="F52" s="1">
        <v>7.2306874983054615E-3</v>
      </c>
      <c r="H52" s="32">
        <f t="shared" si="0"/>
        <v>7.7909801652087645E-3</v>
      </c>
      <c r="I52" s="9" t="s">
        <v>939</v>
      </c>
      <c r="J52" s="9">
        <v>0</v>
      </c>
      <c r="K52" s="9">
        <v>0</v>
      </c>
      <c r="L52" s="9" t="s">
        <v>940</v>
      </c>
      <c r="M52" s="75">
        <v>8550000</v>
      </c>
      <c r="N52" s="78">
        <v>18650735</v>
      </c>
      <c r="O52" s="81">
        <v>7935122</v>
      </c>
    </row>
    <row r="53" spans="1:15" x14ac:dyDescent="0.25">
      <c r="B53" s="5" t="s">
        <v>130</v>
      </c>
      <c r="C53" s="5" t="s">
        <v>1872</v>
      </c>
      <c r="D53" s="6">
        <v>15373</v>
      </c>
      <c r="E53" s="6">
        <v>2843299</v>
      </c>
      <c r="F53" s="1">
        <v>5.4067475844081121E-3</v>
      </c>
      <c r="H53" s="32">
        <f t="shared" si="0"/>
        <v>0</v>
      </c>
      <c r="I53" s="9" t="s">
        <v>939</v>
      </c>
      <c r="J53" s="9">
        <v>0</v>
      </c>
      <c r="K53" s="9">
        <v>0</v>
      </c>
      <c r="L53" s="9" t="s">
        <v>940</v>
      </c>
      <c r="M53" s="75">
        <v>0</v>
      </c>
      <c r="N53" s="78">
        <v>36960</v>
      </c>
      <c r="O53" s="81">
        <v>15373</v>
      </c>
    </row>
    <row r="54" spans="1:15" x14ac:dyDescent="0.25">
      <c r="B54" s="5" t="s">
        <v>131</v>
      </c>
      <c r="C54" s="5" t="s">
        <v>1890</v>
      </c>
      <c r="D54" s="6">
        <v>345494</v>
      </c>
      <c r="E54" s="6">
        <v>36890200</v>
      </c>
      <c r="F54" s="1">
        <v>9.3654683357639705E-3</v>
      </c>
      <c r="H54" s="32">
        <f t="shared" si="0"/>
        <v>0</v>
      </c>
      <c r="I54" s="9" t="s">
        <v>946</v>
      </c>
      <c r="J54" s="9">
        <v>3</v>
      </c>
      <c r="K54" s="9">
        <v>6</v>
      </c>
      <c r="L54" s="9" t="s">
        <v>938</v>
      </c>
      <c r="M54" s="75">
        <v>0</v>
      </c>
      <c r="N54" s="78">
        <v>446394</v>
      </c>
      <c r="O54" s="81">
        <v>345494</v>
      </c>
    </row>
    <row r="55" spans="1:15" x14ac:dyDescent="0.25">
      <c r="B55" s="5" t="s">
        <v>132</v>
      </c>
      <c r="C55" s="5" t="s">
        <v>1853</v>
      </c>
      <c r="D55" s="6">
        <v>5411295</v>
      </c>
      <c r="E55" s="6">
        <v>617983800</v>
      </c>
      <c r="F55" s="1">
        <v>1.0894099489339365E-2</v>
      </c>
      <c r="H55" s="32">
        <f t="shared" si="0"/>
        <v>1.021871447115604E-2</v>
      </c>
      <c r="I55" s="9" t="s">
        <v>941</v>
      </c>
      <c r="J55" s="9">
        <v>2</v>
      </c>
      <c r="K55" s="9">
        <v>2</v>
      </c>
      <c r="L55" s="9" t="s">
        <v>938</v>
      </c>
      <c r="M55" s="75">
        <v>6315000</v>
      </c>
      <c r="N55" s="78">
        <v>6413181</v>
      </c>
      <c r="O55" s="81">
        <v>5411295</v>
      </c>
    </row>
    <row r="56" spans="1:15" x14ac:dyDescent="0.25">
      <c r="B56" s="5" t="s">
        <v>133</v>
      </c>
      <c r="C56" s="5" t="s">
        <v>1692</v>
      </c>
      <c r="D56" s="6">
        <v>59998</v>
      </c>
      <c r="E56" s="6">
        <v>9812500</v>
      </c>
      <c r="F56" s="1">
        <v>6.1144458598726111E-3</v>
      </c>
      <c r="H56" s="32">
        <f t="shared" si="0"/>
        <v>0</v>
      </c>
      <c r="I56" s="9" t="s">
        <v>939</v>
      </c>
      <c r="J56" s="9">
        <v>0</v>
      </c>
      <c r="K56" s="9">
        <v>0</v>
      </c>
      <c r="L56" s="9" t="s">
        <v>940</v>
      </c>
      <c r="M56" s="75">
        <v>0</v>
      </c>
      <c r="N56" s="78">
        <v>109036</v>
      </c>
      <c r="O56" s="81">
        <v>59998</v>
      </c>
    </row>
    <row r="57" spans="1:15" x14ac:dyDescent="0.25">
      <c r="B57" s="5" t="s">
        <v>134</v>
      </c>
      <c r="C57" s="5" t="s">
        <v>1513</v>
      </c>
      <c r="D57" s="6">
        <v>77218</v>
      </c>
      <c r="E57" s="6">
        <v>8104760</v>
      </c>
      <c r="F57" s="1">
        <v>9.5274875505258639E-3</v>
      </c>
      <c r="H57" s="32">
        <f t="shared" si="0"/>
        <v>0</v>
      </c>
      <c r="I57" s="9" t="s">
        <v>939</v>
      </c>
      <c r="J57" s="9">
        <v>0</v>
      </c>
      <c r="K57" s="9">
        <v>0</v>
      </c>
      <c r="L57" s="9" t="s">
        <v>940</v>
      </c>
      <c r="M57" s="75">
        <v>0</v>
      </c>
      <c r="N57" s="78">
        <v>132314</v>
      </c>
      <c r="O57" s="81">
        <v>77218</v>
      </c>
    </row>
    <row r="58" spans="1:15" x14ac:dyDescent="0.25">
      <c r="B58" s="5" t="s">
        <v>135</v>
      </c>
      <c r="C58" s="5" t="s">
        <v>1715</v>
      </c>
      <c r="D58" s="6">
        <v>58004</v>
      </c>
      <c r="E58" s="6">
        <v>9740800</v>
      </c>
      <c r="F58" s="1">
        <v>5.9547470433639945E-3</v>
      </c>
      <c r="H58" s="32">
        <f t="shared" si="0"/>
        <v>0</v>
      </c>
      <c r="I58" s="9" t="s">
        <v>939</v>
      </c>
      <c r="J58" s="9">
        <v>0</v>
      </c>
      <c r="K58" s="9">
        <v>0</v>
      </c>
      <c r="L58" s="9" t="s">
        <v>940</v>
      </c>
      <c r="M58" s="75">
        <v>0</v>
      </c>
      <c r="N58" s="78">
        <v>130259</v>
      </c>
      <c r="O58" s="81">
        <v>58004</v>
      </c>
    </row>
    <row r="59" spans="1:15" x14ac:dyDescent="0.25">
      <c r="B59" s="5" t="s">
        <v>136</v>
      </c>
      <c r="C59" s="5" t="s">
        <v>1527</v>
      </c>
      <c r="D59" s="6">
        <v>141827</v>
      </c>
      <c r="E59" s="6">
        <v>9353466</v>
      </c>
      <c r="F59" s="1">
        <v>1.5163042234825038E-2</v>
      </c>
      <c r="H59" s="32">
        <f t="shared" si="0"/>
        <v>0</v>
      </c>
      <c r="I59" s="9" t="s">
        <v>939</v>
      </c>
      <c r="J59" s="9">
        <v>0</v>
      </c>
      <c r="K59" s="9">
        <v>0</v>
      </c>
      <c r="L59" s="9" t="s">
        <v>940</v>
      </c>
      <c r="M59" s="75">
        <v>0</v>
      </c>
      <c r="N59" s="78">
        <v>99660</v>
      </c>
      <c r="O59" s="81">
        <v>141827</v>
      </c>
    </row>
    <row r="60" spans="1:15" x14ac:dyDescent="0.25">
      <c r="B60" s="5" t="s">
        <v>137</v>
      </c>
      <c r="C60" s="5" t="s">
        <v>1756</v>
      </c>
      <c r="D60" s="6">
        <v>6652154</v>
      </c>
      <c r="E60" s="6">
        <v>1029706300</v>
      </c>
      <c r="F60" s="1">
        <v>6.4602440521146663E-3</v>
      </c>
      <c r="H60" s="32">
        <f t="shared" si="0"/>
        <v>4.3798896831067262E-3</v>
      </c>
      <c r="I60" s="9" t="s">
        <v>937</v>
      </c>
      <c r="J60" s="9">
        <v>3</v>
      </c>
      <c r="K60" s="9">
        <v>5</v>
      </c>
      <c r="L60" s="9" t="s">
        <v>938</v>
      </c>
      <c r="M60" s="75">
        <v>4510000</v>
      </c>
      <c r="N60" s="78">
        <v>13522236</v>
      </c>
      <c r="O60" s="81">
        <v>6652154</v>
      </c>
    </row>
    <row r="61" spans="1:15" x14ac:dyDescent="0.25">
      <c r="B61" s="5" t="s">
        <v>138</v>
      </c>
      <c r="C61" s="5" t="s">
        <v>2245</v>
      </c>
      <c r="D61" s="6">
        <v>13944</v>
      </c>
      <c r="E61" s="6">
        <v>4882294</v>
      </c>
      <c r="F61" s="1">
        <v>2.8560344788740701E-3</v>
      </c>
      <c r="H61" s="32">
        <f t="shared" si="0"/>
        <v>0</v>
      </c>
      <c r="I61" s="9" t="s">
        <v>939</v>
      </c>
      <c r="J61" s="9">
        <v>0</v>
      </c>
      <c r="K61" s="9">
        <v>0</v>
      </c>
      <c r="L61" s="9" t="s">
        <v>940</v>
      </c>
      <c r="M61" s="75">
        <v>0</v>
      </c>
      <c r="N61" s="78">
        <v>55832</v>
      </c>
      <c r="O61" s="81">
        <v>13944</v>
      </c>
    </row>
    <row r="62" spans="1:15" x14ac:dyDescent="0.25">
      <c r="A62" t="s">
        <v>1002</v>
      </c>
      <c r="B62" s="5" t="s">
        <v>139</v>
      </c>
      <c r="C62" s="5" t="s">
        <v>1003</v>
      </c>
      <c r="D62" s="6">
        <v>1348918</v>
      </c>
      <c r="E62" s="6">
        <v>130187249</v>
      </c>
      <c r="F62" s="1">
        <v>1.0937876104901795E-2</v>
      </c>
      <c r="H62" s="32">
        <f t="shared" si="0"/>
        <v>9.6783671955461628E-3</v>
      </c>
      <c r="I62" s="9" t="s">
        <v>937</v>
      </c>
      <c r="J62" s="9">
        <v>3</v>
      </c>
      <c r="K62" s="9">
        <v>5</v>
      </c>
      <c r="L62" s="9" t="s">
        <v>938</v>
      </c>
      <c r="M62" s="75">
        <v>1260000</v>
      </c>
      <c r="N62" s="78">
        <v>1523957</v>
      </c>
      <c r="O62" s="81">
        <v>1348918</v>
      </c>
    </row>
    <row r="63" spans="1:15" x14ac:dyDescent="0.25">
      <c r="B63" s="5" t="s">
        <v>140</v>
      </c>
      <c r="C63" s="5" t="s">
        <v>1893</v>
      </c>
      <c r="D63" s="6">
        <v>134013</v>
      </c>
      <c r="E63" s="6">
        <v>14715489</v>
      </c>
      <c r="F63" s="1">
        <v>9.1069348765780052E-3</v>
      </c>
      <c r="H63" s="32">
        <f t="shared" si="0"/>
        <v>0</v>
      </c>
      <c r="I63" s="9" t="s">
        <v>939</v>
      </c>
      <c r="J63" s="9">
        <v>0</v>
      </c>
      <c r="K63" s="9">
        <v>0</v>
      </c>
      <c r="L63" s="9" t="s">
        <v>940</v>
      </c>
      <c r="M63" s="75">
        <v>0</v>
      </c>
      <c r="N63" s="78">
        <v>148686</v>
      </c>
      <c r="O63" s="81">
        <v>134013</v>
      </c>
    </row>
    <row r="64" spans="1:15" x14ac:dyDescent="0.25">
      <c r="B64" s="5" t="s">
        <v>141</v>
      </c>
      <c r="C64" s="5" t="s">
        <v>2246</v>
      </c>
      <c r="D64" s="6">
        <v>186731</v>
      </c>
      <c r="E64" s="6">
        <v>39313258</v>
      </c>
      <c r="F64" s="1">
        <v>6.3285774992243079E-3</v>
      </c>
      <c r="H64" s="32">
        <f t="shared" si="0"/>
        <v>6.7407285348876451E-3</v>
      </c>
      <c r="I64" s="9" t="s">
        <v>937</v>
      </c>
      <c r="J64" s="9">
        <v>3</v>
      </c>
      <c r="K64" s="9">
        <v>5</v>
      </c>
      <c r="L64" s="9" t="s">
        <v>938</v>
      </c>
      <c r="M64" s="75">
        <v>265000</v>
      </c>
      <c r="N64" s="78">
        <v>416060</v>
      </c>
      <c r="O64" s="81">
        <v>186731</v>
      </c>
    </row>
    <row r="65" spans="1:15" x14ac:dyDescent="0.25">
      <c r="B65" s="5" t="s">
        <v>142</v>
      </c>
      <c r="C65" s="5" t="s">
        <v>1763</v>
      </c>
      <c r="D65" s="6">
        <v>53353</v>
      </c>
      <c r="E65" s="6">
        <v>4808882</v>
      </c>
      <c r="F65" s="1">
        <v>1.1094678555223439E-2</v>
      </c>
      <c r="H65" s="32">
        <f t="shared" si="0"/>
        <v>0</v>
      </c>
      <c r="I65" s="9" t="s">
        <v>939</v>
      </c>
      <c r="J65" s="9">
        <v>0</v>
      </c>
      <c r="K65" s="9">
        <v>0</v>
      </c>
      <c r="L65" s="9" t="s">
        <v>940</v>
      </c>
      <c r="M65" s="75">
        <v>0</v>
      </c>
      <c r="N65" s="78">
        <v>49799</v>
      </c>
      <c r="O65" s="81">
        <v>53353</v>
      </c>
    </row>
    <row r="66" spans="1:15" x14ac:dyDescent="0.25">
      <c r="B66" s="5" t="s">
        <v>143</v>
      </c>
      <c r="C66" s="5" t="s">
        <v>1728</v>
      </c>
      <c r="D66" s="6">
        <v>4694473</v>
      </c>
      <c r="E66" s="6">
        <v>896396143</v>
      </c>
      <c r="F66" s="1">
        <v>5.2370517618347224E-3</v>
      </c>
      <c r="H66" s="32">
        <f t="shared" si="0"/>
        <v>0</v>
      </c>
      <c r="I66" s="9" t="s">
        <v>943</v>
      </c>
      <c r="J66" s="9">
        <v>2</v>
      </c>
      <c r="K66" s="9">
        <v>3</v>
      </c>
      <c r="L66" s="9" t="s">
        <v>938</v>
      </c>
      <c r="M66" s="75">
        <v>0</v>
      </c>
      <c r="N66" s="78">
        <v>9693044</v>
      </c>
      <c r="O66" s="81">
        <v>4694473</v>
      </c>
    </row>
    <row r="67" spans="1:15" x14ac:dyDescent="0.25">
      <c r="B67" s="5" t="s">
        <v>144</v>
      </c>
      <c r="C67" s="5" t="s">
        <v>1962</v>
      </c>
      <c r="D67" s="6">
        <v>61038</v>
      </c>
      <c r="E67" s="6">
        <v>7385106</v>
      </c>
      <c r="F67" s="1">
        <v>8.2650133931726905E-3</v>
      </c>
      <c r="H67" s="32">
        <f t="shared" ref="H67:H130" si="1">M67/E67</f>
        <v>0</v>
      </c>
      <c r="I67" s="9" t="s">
        <v>939</v>
      </c>
      <c r="J67" s="9">
        <v>0</v>
      </c>
      <c r="K67" s="9">
        <v>0</v>
      </c>
      <c r="L67" s="9" t="s">
        <v>940</v>
      </c>
      <c r="M67" s="75">
        <v>0</v>
      </c>
      <c r="N67" s="78">
        <v>90856</v>
      </c>
      <c r="O67" s="81">
        <v>61038</v>
      </c>
    </row>
    <row r="68" spans="1:15" x14ac:dyDescent="0.25">
      <c r="B68" s="5" t="s">
        <v>145</v>
      </c>
      <c r="C68" s="5" t="s">
        <v>1784</v>
      </c>
      <c r="D68" s="6">
        <v>159163</v>
      </c>
      <c r="E68" s="6">
        <v>15794233</v>
      </c>
      <c r="F68" s="1">
        <v>1.2472590470205169E-2</v>
      </c>
      <c r="H68" s="32">
        <f t="shared" si="1"/>
        <v>0</v>
      </c>
      <c r="I68" s="9" t="s">
        <v>939</v>
      </c>
      <c r="J68" s="9">
        <v>0</v>
      </c>
      <c r="K68" s="9">
        <v>0</v>
      </c>
      <c r="L68" s="9" t="s">
        <v>940</v>
      </c>
      <c r="M68" s="75">
        <v>0</v>
      </c>
      <c r="N68" s="78">
        <v>159564</v>
      </c>
      <c r="O68" s="81">
        <v>159163</v>
      </c>
    </row>
    <row r="69" spans="1:15" x14ac:dyDescent="0.25">
      <c r="B69" s="5" t="s">
        <v>146</v>
      </c>
      <c r="C69" s="5" t="s">
        <v>2032</v>
      </c>
      <c r="D69" s="6">
        <v>135005</v>
      </c>
      <c r="E69" s="6">
        <v>13327921</v>
      </c>
      <c r="F69" s="1">
        <v>1.0129486811934135E-2</v>
      </c>
      <c r="H69" s="32">
        <f t="shared" si="1"/>
        <v>0</v>
      </c>
      <c r="I69" s="9" t="s">
        <v>939</v>
      </c>
      <c r="J69" s="9">
        <v>0</v>
      </c>
      <c r="K69" s="9">
        <v>0</v>
      </c>
      <c r="L69" s="9" t="s">
        <v>940</v>
      </c>
      <c r="M69" s="75">
        <v>0</v>
      </c>
      <c r="N69" s="78">
        <v>179632</v>
      </c>
      <c r="O69" s="81">
        <v>135005</v>
      </c>
    </row>
    <row r="70" spans="1:15" x14ac:dyDescent="0.25">
      <c r="B70" s="5" t="s">
        <v>147</v>
      </c>
      <c r="C70" s="5" t="s">
        <v>1953</v>
      </c>
      <c r="D70" s="6">
        <v>511999</v>
      </c>
      <c r="E70" s="6">
        <v>165694700</v>
      </c>
      <c r="F70" s="1">
        <v>3.0900143456610261E-3</v>
      </c>
      <c r="H70" s="32">
        <f t="shared" si="1"/>
        <v>0</v>
      </c>
      <c r="I70" s="9" t="s">
        <v>939</v>
      </c>
      <c r="J70" s="9">
        <v>0</v>
      </c>
      <c r="K70" s="9">
        <v>0</v>
      </c>
      <c r="L70" s="9" t="s">
        <v>940</v>
      </c>
      <c r="M70" s="75">
        <v>0</v>
      </c>
      <c r="N70" s="78">
        <v>1751563</v>
      </c>
      <c r="O70" s="81">
        <v>511999</v>
      </c>
    </row>
    <row r="71" spans="1:15" x14ac:dyDescent="0.25">
      <c r="B71" s="5" t="s">
        <v>148</v>
      </c>
      <c r="C71" s="5" t="s">
        <v>1895</v>
      </c>
      <c r="D71" s="6">
        <v>582863</v>
      </c>
      <c r="E71" s="6">
        <v>43394418</v>
      </c>
      <c r="F71" s="1">
        <v>1.343175059981217E-2</v>
      </c>
      <c r="H71" s="32">
        <f t="shared" si="1"/>
        <v>0</v>
      </c>
      <c r="I71" s="9" t="s">
        <v>937</v>
      </c>
      <c r="J71" s="9">
        <v>3</v>
      </c>
      <c r="K71" s="9">
        <v>5</v>
      </c>
      <c r="L71" s="9" t="s">
        <v>938</v>
      </c>
      <c r="M71" s="75">
        <v>0</v>
      </c>
      <c r="N71" s="78">
        <v>504703</v>
      </c>
      <c r="O71" s="81">
        <v>582863</v>
      </c>
    </row>
    <row r="72" spans="1:15" x14ac:dyDescent="0.25">
      <c r="B72" s="5" t="s">
        <v>149</v>
      </c>
      <c r="C72" s="5" t="s">
        <v>1909</v>
      </c>
      <c r="D72" s="6">
        <v>21697</v>
      </c>
      <c r="E72" s="6">
        <v>3327200</v>
      </c>
      <c r="F72" s="1">
        <v>6.5210988218321712E-3</v>
      </c>
      <c r="H72" s="32">
        <f t="shared" si="1"/>
        <v>9.0165905265688871E-3</v>
      </c>
      <c r="I72" s="9" t="s">
        <v>939</v>
      </c>
      <c r="J72" s="9">
        <v>0</v>
      </c>
      <c r="K72" s="9">
        <v>0</v>
      </c>
      <c r="L72" s="9" t="s">
        <v>940</v>
      </c>
      <c r="M72" s="75">
        <v>30000</v>
      </c>
      <c r="N72" s="78">
        <v>35494</v>
      </c>
      <c r="O72" s="81">
        <v>21697</v>
      </c>
    </row>
    <row r="73" spans="1:15" x14ac:dyDescent="0.25">
      <c r="B73" s="5" t="s">
        <v>150</v>
      </c>
      <c r="C73" s="5" t="s">
        <v>1800</v>
      </c>
      <c r="D73" s="6">
        <v>1113569</v>
      </c>
      <c r="E73" s="6">
        <v>75103617</v>
      </c>
      <c r="F73" s="1">
        <v>1.5872417968897556E-2</v>
      </c>
      <c r="H73" s="32">
        <f t="shared" si="1"/>
        <v>5.4591245585415678E-2</v>
      </c>
      <c r="I73" s="9" t="s">
        <v>939</v>
      </c>
      <c r="J73" s="9">
        <v>0</v>
      </c>
      <c r="K73" s="9">
        <v>0</v>
      </c>
      <c r="L73" s="9" t="s">
        <v>940</v>
      </c>
      <c r="M73" s="75">
        <v>4100000</v>
      </c>
      <c r="N73" s="78">
        <v>827837</v>
      </c>
      <c r="O73" s="81">
        <v>1113569</v>
      </c>
    </row>
    <row r="74" spans="1:15" x14ac:dyDescent="0.25">
      <c r="B74" s="5" t="s">
        <v>151</v>
      </c>
      <c r="C74" s="5" t="s">
        <v>1645</v>
      </c>
      <c r="D74" s="6">
        <v>305872</v>
      </c>
      <c r="E74" s="6">
        <v>28534200</v>
      </c>
      <c r="F74" s="1">
        <v>1.0719487492202339E-2</v>
      </c>
      <c r="H74" s="32">
        <f t="shared" si="1"/>
        <v>0</v>
      </c>
      <c r="I74" s="9" t="s">
        <v>946</v>
      </c>
      <c r="J74" s="9">
        <v>3</v>
      </c>
      <c r="K74" s="9">
        <v>6</v>
      </c>
      <c r="L74" s="9" t="s">
        <v>938</v>
      </c>
      <c r="M74" s="75">
        <v>0</v>
      </c>
      <c r="N74" s="78">
        <v>307028</v>
      </c>
      <c r="O74" s="81">
        <v>305872</v>
      </c>
    </row>
    <row r="75" spans="1:15" x14ac:dyDescent="0.25">
      <c r="B75" s="5" t="s">
        <v>152</v>
      </c>
      <c r="C75" s="5" t="s">
        <v>1651</v>
      </c>
      <c r="D75" s="6">
        <v>29377081</v>
      </c>
      <c r="E75" s="6">
        <v>7909880680</v>
      </c>
      <c r="F75" s="1">
        <v>4.2334890189519268E-3</v>
      </c>
      <c r="H75" s="32">
        <f t="shared" si="1"/>
        <v>1.4121578380117865E-3</v>
      </c>
      <c r="I75" s="9" t="s">
        <v>944</v>
      </c>
      <c r="J75" s="9">
        <v>1</v>
      </c>
      <c r="K75" s="9">
        <v>1</v>
      </c>
      <c r="L75" s="9" t="s">
        <v>938</v>
      </c>
      <c r="M75" s="75">
        <v>11170000</v>
      </c>
      <c r="N75" s="78">
        <v>83622281</v>
      </c>
      <c r="O75" s="81">
        <v>29377081</v>
      </c>
    </row>
    <row r="76" spans="1:15" x14ac:dyDescent="0.25">
      <c r="B76" s="5" t="s">
        <v>153</v>
      </c>
      <c r="C76" s="5" t="s">
        <v>1901</v>
      </c>
      <c r="D76" s="6">
        <v>74583</v>
      </c>
      <c r="E76" s="6">
        <v>9357206</v>
      </c>
      <c r="F76" s="1">
        <v>7.9706485034100986E-3</v>
      </c>
      <c r="H76" s="32">
        <f t="shared" si="1"/>
        <v>1.196938487834937E-2</v>
      </c>
      <c r="I76" s="9" t="s">
        <v>939</v>
      </c>
      <c r="J76" s="9">
        <v>0</v>
      </c>
      <c r="K76" s="9">
        <v>0</v>
      </c>
      <c r="L76" s="9" t="s">
        <v>940</v>
      </c>
      <c r="M76" s="75">
        <v>112000</v>
      </c>
      <c r="N76" s="78">
        <v>93225</v>
      </c>
      <c r="O76" s="81">
        <v>74583</v>
      </c>
    </row>
    <row r="77" spans="1:15" x14ac:dyDescent="0.25">
      <c r="A77" t="s">
        <v>1004</v>
      </c>
      <c r="B77" s="5" t="s">
        <v>154</v>
      </c>
      <c r="C77" s="5" t="s">
        <v>1005</v>
      </c>
      <c r="D77" s="6">
        <v>793293</v>
      </c>
      <c r="E77" s="6">
        <v>110029354</v>
      </c>
      <c r="F77" s="1">
        <v>7.2098305693951452E-3</v>
      </c>
      <c r="H77" s="32">
        <f t="shared" si="1"/>
        <v>1.7722543386013156E-2</v>
      </c>
      <c r="I77" s="9" t="s">
        <v>937</v>
      </c>
      <c r="J77" s="9">
        <v>3</v>
      </c>
      <c r="K77" s="9">
        <v>5</v>
      </c>
      <c r="L77" s="9" t="s">
        <v>938</v>
      </c>
      <c r="M77" s="75">
        <v>1950000</v>
      </c>
      <c r="N77" s="78">
        <v>1238232</v>
      </c>
      <c r="O77" s="81">
        <v>793293</v>
      </c>
    </row>
    <row r="78" spans="1:15" x14ac:dyDescent="0.25">
      <c r="B78" s="5" t="s">
        <v>155</v>
      </c>
      <c r="C78" s="5" t="s">
        <v>1453</v>
      </c>
      <c r="D78" s="6">
        <v>62262698</v>
      </c>
      <c r="E78" s="6">
        <v>14370700933</v>
      </c>
      <c r="F78" s="1">
        <v>4.6356893314105684E-3</v>
      </c>
      <c r="H78" s="32">
        <f t="shared" si="1"/>
        <v>4.5404883383359459E-4</v>
      </c>
      <c r="I78" s="9" t="s">
        <v>944</v>
      </c>
      <c r="J78" s="9">
        <v>1</v>
      </c>
      <c r="K78" s="9">
        <v>1</v>
      </c>
      <c r="L78" s="9" t="s">
        <v>938</v>
      </c>
      <c r="M78" s="75">
        <v>6525000</v>
      </c>
      <c r="N78" s="78">
        <v>156663673</v>
      </c>
      <c r="O78" s="81">
        <v>62262698</v>
      </c>
    </row>
    <row r="79" spans="1:15" s="17" customFormat="1" x14ac:dyDescent="0.25">
      <c r="A79" s="17" t="s">
        <v>1006</v>
      </c>
      <c r="B79" s="45" t="s">
        <v>156</v>
      </c>
      <c r="C79" s="5" t="s">
        <v>1007</v>
      </c>
      <c r="D79" s="46">
        <v>1723698</v>
      </c>
      <c r="E79" s="46">
        <v>136990000</v>
      </c>
      <c r="F79" s="47">
        <v>1.2582655668296956E-2</v>
      </c>
      <c r="H79" s="32">
        <f t="shared" si="1"/>
        <v>5.5799620410248926E-2</v>
      </c>
      <c r="I79" s="48" t="s">
        <v>937</v>
      </c>
      <c r="J79" s="48">
        <v>3</v>
      </c>
      <c r="K79" s="48">
        <v>5</v>
      </c>
      <c r="L79" s="48" t="s">
        <v>938</v>
      </c>
      <c r="M79" s="75">
        <v>7643990</v>
      </c>
      <c r="N79" s="75">
        <v>1690484</v>
      </c>
      <c r="O79" s="74">
        <v>1723698</v>
      </c>
    </row>
    <row r="80" spans="1:15" x14ac:dyDescent="0.25">
      <c r="B80" s="5" t="s">
        <v>157</v>
      </c>
      <c r="C80" s="5" t="s">
        <v>2247</v>
      </c>
      <c r="D80" s="6">
        <v>58495</v>
      </c>
      <c r="E80" s="6">
        <v>11260600</v>
      </c>
      <c r="F80" s="1">
        <v>5.1946610304957107E-3</v>
      </c>
      <c r="H80" s="32">
        <f t="shared" si="1"/>
        <v>0</v>
      </c>
      <c r="I80" s="9" t="s">
        <v>939</v>
      </c>
      <c r="J80" s="9">
        <v>0</v>
      </c>
      <c r="K80" s="9">
        <v>0</v>
      </c>
      <c r="L80" s="9" t="s">
        <v>940</v>
      </c>
      <c r="M80" s="75">
        <v>0</v>
      </c>
      <c r="N80" s="78">
        <v>118789</v>
      </c>
      <c r="O80" s="81">
        <v>58495</v>
      </c>
    </row>
    <row r="81" spans="1:15" x14ac:dyDescent="0.25">
      <c r="B81" s="5" t="s">
        <v>158</v>
      </c>
      <c r="C81" s="5" t="s">
        <v>1772</v>
      </c>
      <c r="D81" s="6">
        <v>24439</v>
      </c>
      <c r="E81" s="6">
        <v>4828595</v>
      </c>
      <c r="F81" s="1">
        <v>5.0613066533846804E-3</v>
      </c>
      <c r="H81" s="32">
        <f t="shared" si="1"/>
        <v>0</v>
      </c>
      <c r="I81" s="9" t="s">
        <v>939</v>
      </c>
      <c r="J81" s="9">
        <v>0</v>
      </c>
      <c r="K81" s="9">
        <v>0</v>
      </c>
      <c r="L81" s="9" t="s">
        <v>940</v>
      </c>
      <c r="M81" s="75">
        <v>0</v>
      </c>
      <c r="N81" s="78">
        <v>52002</v>
      </c>
      <c r="O81" s="81">
        <v>24439</v>
      </c>
    </row>
    <row r="82" spans="1:15" x14ac:dyDescent="0.25">
      <c r="B82" s="5" t="s">
        <v>159</v>
      </c>
      <c r="C82" s="5" t="s">
        <v>1491</v>
      </c>
      <c r="D82" s="6">
        <v>14002</v>
      </c>
      <c r="E82" s="6">
        <v>2107081</v>
      </c>
      <c r="F82" s="1">
        <v>6.6452120255462415E-3</v>
      </c>
      <c r="H82" s="32">
        <f t="shared" si="1"/>
        <v>0</v>
      </c>
      <c r="I82" s="9" t="s">
        <v>939</v>
      </c>
      <c r="J82" s="9">
        <v>0</v>
      </c>
      <c r="K82" s="9">
        <v>0</v>
      </c>
      <c r="L82" s="9" t="s">
        <v>940</v>
      </c>
      <c r="M82" s="75">
        <v>0</v>
      </c>
      <c r="N82" s="78">
        <v>22853</v>
      </c>
      <c r="O82" s="81">
        <v>14002</v>
      </c>
    </row>
    <row r="83" spans="1:15" x14ac:dyDescent="0.25">
      <c r="B83" s="5" t="s">
        <v>160</v>
      </c>
      <c r="C83" s="5" t="s">
        <v>1785</v>
      </c>
      <c r="D83" s="6">
        <v>344962</v>
      </c>
      <c r="E83" s="6">
        <v>21338802</v>
      </c>
      <c r="F83" s="1">
        <v>2.4159884889507856E-2</v>
      </c>
      <c r="H83" s="32">
        <f t="shared" si="1"/>
        <v>0</v>
      </c>
      <c r="I83" s="9" t="s">
        <v>939</v>
      </c>
      <c r="J83" s="9">
        <v>0</v>
      </c>
      <c r="K83" s="9">
        <v>0</v>
      </c>
      <c r="L83" s="9" t="s">
        <v>940</v>
      </c>
      <c r="M83" s="75">
        <v>0</v>
      </c>
      <c r="N83" s="78">
        <v>213534</v>
      </c>
      <c r="O83" s="81">
        <v>344962</v>
      </c>
    </row>
    <row r="84" spans="1:15" x14ac:dyDescent="0.25">
      <c r="B84" s="5" t="s">
        <v>161</v>
      </c>
      <c r="C84" s="5" t="s">
        <v>1826</v>
      </c>
      <c r="D84" s="6">
        <v>58660</v>
      </c>
      <c r="E84" s="6">
        <v>13100100</v>
      </c>
      <c r="F84" s="1">
        <v>4.4778284135235605E-3</v>
      </c>
      <c r="H84" s="32">
        <f t="shared" si="1"/>
        <v>0</v>
      </c>
      <c r="I84" s="9" t="s">
        <v>939</v>
      </c>
      <c r="J84" s="9">
        <v>0</v>
      </c>
      <c r="K84" s="9">
        <v>0</v>
      </c>
      <c r="L84" s="9" t="s">
        <v>940</v>
      </c>
      <c r="M84" s="75">
        <v>0</v>
      </c>
      <c r="N84" s="78">
        <v>132335</v>
      </c>
      <c r="O84" s="81">
        <v>58660</v>
      </c>
    </row>
    <row r="85" spans="1:15" x14ac:dyDescent="0.25">
      <c r="B85" s="5" t="s">
        <v>162</v>
      </c>
      <c r="C85" s="5" t="s">
        <v>2248</v>
      </c>
      <c r="D85" s="6">
        <v>4001</v>
      </c>
      <c r="E85" s="6">
        <v>923649</v>
      </c>
      <c r="F85" s="1">
        <v>4.3317320757127438E-3</v>
      </c>
      <c r="H85" s="32">
        <f t="shared" si="1"/>
        <v>0</v>
      </c>
      <c r="I85" s="9" t="s">
        <v>939</v>
      </c>
      <c r="J85" s="9">
        <v>0</v>
      </c>
      <c r="K85" s="9">
        <v>0</v>
      </c>
      <c r="L85" s="9" t="s">
        <v>940</v>
      </c>
      <c r="M85" s="75">
        <v>0</v>
      </c>
      <c r="N85" s="78">
        <v>42896</v>
      </c>
      <c r="O85" s="81">
        <v>4001</v>
      </c>
    </row>
    <row r="86" spans="1:15" x14ac:dyDescent="0.25">
      <c r="B86" s="5" t="s">
        <v>163</v>
      </c>
      <c r="C86" s="5" t="s">
        <v>2015</v>
      </c>
      <c r="D86" s="6">
        <v>103780</v>
      </c>
      <c r="E86" s="6">
        <v>3639730</v>
      </c>
      <c r="F86" s="1">
        <v>2.8513103993977575E-2</v>
      </c>
      <c r="H86" s="32">
        <f t="shared" si="1"/>
        <v>0</v>
      </c>
      <c r="I86" s="9" t="s">
        <v>939</v>
      </c>
      <c r="J86" s="9">
        <v>0</v>
      </c>
      <c r="K86" s="9">
        <v>0</v>
      </c>
      <c r="L86" s="9" t="s">
        <v>940</v>
      </c>
      <c r="M86" s="75">
        <v>0</v>
      </c>
      <c r="N86" s="78">
        <v>913793</v>
      </c>
      <c r="O86" s="81">
        <v>103780</v>
      </c>
    </row>
    <row r="87" spans="1:15" x14ac:dyDescent="0.25">
      <c r="A87" t="s">
        <v>1008</v>
      </c>
      <c r="B87" s="5" t="s">
        <v>164</v>
      </c>
      <c r="C87" s="5" t="s">
        <v>1009</v>
      </c>
      <c r="D87" s="6">
        <v>706618</v>
      </c>
      <c r="E87" s="6">
        <v>85888000</v>
      </c>
      <c r="F87" s="1">
        <v>8.2272028688524582E-3</v>
      </c>
      <c r="H87" s="32">
        <f t="shared" si="1"/>
        <v>1.6853343889716842E-2</v>
      </c>
      <c r="I87" s="9" t="s">
        <v>939</v>
      </c>
      <c r="J87" s="9">
        <v>0</v>
      </c>
      <c r="K87" s="9">
        <v>0</v>
      </c>
      <c r="L87" s="9" t="s">
        <v>940</v>
      </c>
      <c r="M87" s="75">
        <v>1447500</v>
      </c>
      <c r="N87" s="78">
        <v>8418179</v>
      </c>
      <c r="O87" s="81">
        <v>706618</v>
      </c>
    </row>
    <row r="88" spans="1:15" x14ac:dyDescent="0.25">
      <c r="B88" s="5" t="s">
        <v>165</v>
      </c>
      <c r="C88" s="5" t="s">
        <v>1815</v>
      </c>
      <c r="D88" s="6">
        <v>6133831</v>
      </c>
      <c r="E88" s="6">
        <v>719949156</v>
      </c>
      <c r="F88" s="1">
        <v>8.5198113629012997E-3</v>
      </c>
      <c r="H88" s="32">
        <f t="shared" si="1"/>
        <v>0</v>
      </c>
      <c r="I88" s="9" t="s">
        <v>942</v>
      </c>
      <c r="J88" s="9">
        <v>2</v>
      </c>
      <c r="K88" s="9">
        <v>4</v>
      </c>
      <c r="L88" s="9" t="s">
        <v>938</v>
      </c>
      <c r="M88" s="75">
        <v>0</v>
      </c>
      <c r="N88" s="78">
        <v>334095</v>
      </c>
      <c r="O88" s="81">
        <v>6133831</v>
      </c>
    </row>
    <row r="89" spans="1:15" x14ac:dyDescent="0.25">
      <c r="B89" s="5" t="s">
        <v>166</v>
      </c>
      <c r="C89" s="5" t="s">
        <v>1487</v>
      </c>
      <c r="D89" s="6">
        <v>251618</v>
      </c>
      <c r="E89" s="6">
        <v>28886295</v>
      </c>
      <c r="F89" s="1">
        <v>8.7106359607557835E-3</v>
      </c>
      <c r="H89" s="32">
        <f t="shared" si="1"/>
        <v>0</v>
      </c>
      <c r="I89" s="9" t="s">
        <v>946</v>
      </c>
      <c r="J89" s="9">
        <v>3</v>
      </c>
      <c r="K89" s="9">
        <v>6</v>
      </c>
      <c r="L89" s="9" t="s">
        <v>938</v>
      </c>
      <c r="M89" s="75">
        <v>0</v>
      </c>
      <c r="N89" s="78">
        <v>1833298</v>
      </c>
      <c r="O89" s="81">
        <v>251618</v>
      </c>
    </row>
    <row r="90" spans="1:15" x14ac:dyDescent="0.25">
      <c r="B90" s="5" t="s">
        <v>167</v>
      </c>
      <c r="C90" s="5" t="s">
        <v>1929</v>
      </c>
      <c r="D90" s="6">
        <v>1001940</v>
      </c>
      <c r="E90" s="6">
        <v>165879227</v>
      </c>
      <c r="F90" s="1">
        <v>6.0401776528654794E-3</v>
      </c>
      <c r="H90" s="32">
        <f t="shared" si="1"/>
        <v>0</v>
      </c>
      <c r="I90" s="9" t="s">
        <v>939</v>
      </c>
      <c r="J90" s="9">
        <v>0</v>
      </c>
      <c r="K90" s="9">
        <v>0</v>
      </c>
      <c r="L90" s="9" t="s">
        <v>940</v>
      </c>
      <c r="M90" s="75">
        <v>0</v>
      </c>
      <c r="N90" s="78">
        <v>5472343</v>
      </c>
      <c r="O90" s="81">
        <v>1001940</v>
      </c>
    </row>
    <row r="91" spans="1:15" x14ac:dyDescent="0.25">
      <c r="B91" s="5" t="s">
        <v>168</v>
      </c>
      <c r="C91" s="5" t="s">
        <v>2249</v>
      </c>
      <c r="D91" s="6">
        <v>2488725</v>
      </c>
      <c r="E91" s="6">
        <v>524820897</v>
      </c>
      <c r="F91" s="1">
        <v>4.742046313754157E-3</v>
      </c>
      <c r="H91" s="32">
        <f t="shared" si="1"/>
        <v>0</v>
      </c>
      <c r="I91" s="9" t="s">
        <v>943</v>
      </c>
      <c r="J91" s="9">
        <v>2</v>
      </c>
      <c r="K91" s="9">
        <v>3</v>
      </c>
      <c r="L91" s="9" t="s">
        <v>938</v>
      </c>
      <c r="M91" s="75">
        <v>0</v>
      </c>
      <c r="N91" s="78">
        <v>758982</v>
      </c>
      <c r="O91" s="81">
        <v>2488725</v>
      </c>
    </row>
    <row r="92" spans="1:15" x14ac:dyDescent="0.25">
      <c r="A92" t="s">
        <v>1010</v>
      </c>
      <c r="B92" s="5" t="s">
        <v>169</v>
      </c>
      <c r="C92" s="5" t="s">
        <v>1011</v>
      </c>
      <c r="D92" s="6">
        <v>241641</v>
      </c>
      <c r="E92" s="6">
        <v>49757961</v>
      </c>
      <c r="F92" s="1">
        <v>4.8563284174767529E-3</v>
      </c>
      <c r="H92" s="32">
        <f t="shared" si="1"/>
        <v>1.3465181983642778E-3</v>
      </c>
      <c r="I92" s="9" t="s">
        <v>939</v>
      </c>
      <c r="J92" s="9">
        <v>0</v>
      </c>
      <c r="K92" s="9">
        <v>0</v>
      </c>
      <c r="L92" s="9" t="s">
        <v>940</v>
      </c>
      <c r="M92" s="75">
        <v>67000</v>
      </c>
      <c r="N92" s="78">
        <v>97803</v>
      </c>
      <c r="O92" s="81">
        <v>241641</v>
      </c>
    </row>
    <row r="93" spans="1:15" x14ac:dyDescent="0.25">
      <c r="B93" s="5" t="s">
        <v>170</v>
      </c>
      <c r="C93" s="5" t="s">
        <v>1589</v>
      </c>
      <c r="D93" s="6">
        <v>188547</v>
      </c>
      <c r="E93" s="6">
        <v>6943000</v>
      </c>
      <c r="F93" s="1">
        <v>2.7156416534639204E-2</v>
      </c>
      <c r="H93" s="32">
        <f t="shared" si="1"/>
        <v>0</v>
      </c>
      <c r="I93" s="9" t="s">
        <v>939</v>
      </c>
      <c r="J93" s="9">
        <v>0</v>
      </c>
      <c r="K93" s="9">
        <v>0</v>
      </c>
      <c r="L93" s="9" t="s">
        <v>940</v>
      </c>
      <c r="M93" s="75">
        <v>0</v>
      </c>
      <c r="N93" s="78">
        <v>68062</v>
      </c>
      <c r="O93" s="81">
        <v>188547</v>
      </c>
    </row>
    <row r="94" spans="1:15" x14ac:dyDescent="0.25">
      <c r="B94" s="5" t="s">
        <v>171</v>
      </c>
      <c r="C94" s="5" t="s">
        <v>1827</v>
      </c>
      <c r="D94" s="6">
        <v>27973</v>
      </c>
      <c r="E94" s="6">
        <v>5743200</v>
      </c>
      <c r="F94" s="1">
        <v>4.8706296141523891E-3</v>
      </c>
      <c r="H94" s="32">
        <f t="shared" si="1"/>
        <v>0</v>
      </c>
      <c r="I94" s="9" t="s">
        <v>939</v>
      </c>
      <c r="J94" s="9">
        <v>0</v>
      </c>
      <c r="K94" s="9">
        <v>0</v>
      </c>
      <c r="L94" s="9" t="s">
        <v>940</v>
      </c>
      <c r="M94" s="75">
        <v>0</v>
      </c>
      <c r="N94" s="78">
        <v>22370204</v>
      </c>
      <c r="O94" s="81">
        <v>27973</v>
      </c>
    </row>
    <row r="95" spans="1:15" x14ac:dyDescent="0.25">
      <c r="B95" s="5" t="s">
        <v>172</v>
      </c>
      <c r="C95" s="5" t="s">
        <v>1777</v>
      </c>
      <c r="D95" s="6">
        <v>14482432</v>
      </c>
      <c r="E95" s="6">
        <v>2468226455</v>
      </c>
      <c r="F95" s="1">
        <v>8.1653208761187195E-3</v>
      </c>
      <c r="H95" s="32">
        <f t="shared" si="1"/>
        <v>1.571978937402646E-2</v>
      </c>
      <c r="I95" s="9" t="s">
        <v>943</v>
      </c>
      <c r="J95" s="9">
        <v>2</v>
      </c>
      <c r="K95" s="9">
        <v>3</v>
      </c>
      <c r="L95" s="9" t="s">
        <v>938</v>
      </c>
      <c r="M95" s="75">
        <v>38800000</v>
      </c>
      <c r="N95" s="78">
        <v>86169827</v>
      </c>
      <c r="O95" s="81">
        <v>14482432</v>
      </c>
    </row>
    <row r="96" spans="1:15" x14ac:dyDescent="0.25">
      <c r="B96" s="5" t="s">
        <v>173</v>
      </c>
      <c r="C96" s="5" t="s">
        <v>1454</v>
      </c>
      <c r="D96" s="6">
        <v>39979251</v>
      </c>
      <c r="E96" s="6">
        <v>8113954348</v>
      </c>
      <c r="F96" s="1">
        <v>6.0642955197460031E-3</v>
      </c>
      <c r="H96" s="32">
        <f t="shared" si="1"/>
        <v>0</v>
      </c>
      <c r="I96" s="9" t="s">
        <v>941</v>
      </c>
      <c r="J96" s="9">
        <v>2</v>
      </c>
      <c r="K96" s="9">
        <v>2</v>
      </c>
      <c r="L96" s="9" t="s">
        <v>938</v>
      </c>
      <c r="M96" s="75">
        <v>0</v>
      </c>
      <c r="N96" s="78">
        <v>75856</v>
      </c>
      <c r="O96" s="81">
        <v>39979251</v>
      </c>
    </row>
    <row r="97" spans="1:15" x14ac:dyDescent="0.25">
      <c r="B97" s="5" t="s">
        <v>174</v>
      </c>
      <c r="C97" s="5" t="s">
        <v>2250</v>
      </c>
      <c r="D97" s="6">
        <v>16001</v>
      </c>
      <c r="E97" s="6">
        <v>7350657</v>
      </c>
      <c r="F97" s="1">
        <v>2.1768122223632526E-3</v>
      </c>
      <c r="H97" s="32">
        <f t="shared" si="1"/>
        <v>0</v>
      </c>
      <c r="I97" s="9" t="s">
        <v>939</v>
      </c>
      <c r="J97" s="9">
        <v>0</v>
      </c>
      <c r="K97" s="9">
        <v>0</v>
      </c>
      <c r="L97" s="9" t="s">
        <v>940</v>
      </c>
      <c r="M97" s="75">
        <v>0</v>
      </c>
      <c r="N97" s="78">
        <v>56076</v>
      </c>
      <c r="O97" s="81">
        <v>16001</v>
      </c>
    </row>
    <row r="98" spans="1:15" x14ac:dyDescent="0.25">
      <c r="B98" s="5" t="s">
        <v>175</v>
      </c>
      <c r="C98" s="5" t="s">
        <v>2251</v>
      </c>
      <c r="D98" s="6">
        <v>29385</v>
      </c>
      <c r="E98" s="6">
        <v>5100403</v>
      </c>
      <c r="F98" s="1">
        <v>7.254916915388843E-3</v>
      </c>
      <c r="H98" s="32">
        <f t="shared" si="1"/>
        <v>9.6070839892455559E-2</v>
      </c>
      <c r="I98" s="9" t="s">
        <v>939</v>
      </c>
      <c r="J98" s="9">
        <v>0</v>
      </c>
      <c r="K98" s="9">
        <v>0</v>
      </c>
      <c r="L98" s="9" t="s">
        <v>940</v>
      </c>
      <c r="M98" s="75">
        <v>490000</v>
      </c>
      <c r="N98" s="78">
        <v>474008</v>
      </c>
      <c r="O98" s="81">
        <v>29385</v>
      </c>
    </row>
    <row r="99" spans="1:15" x14ac:dyDescent="0.25">
      <c r="B99" s="5" t="s">
        <v>176</v>
      </c>
      <c r="C99" s="5" t="s">
        <v>1670</v>
      </c>
      <c r="D99" s="6">
        <v>384030</v>
      </c>
      <c r="E99" s="6">
        <v>37684100</v>
      </c>
      <c r="F99" s="1">
        <v>1.0190770112593906E-2</v>
      </c>
      <c r="H99" s="32">
        <f t="shared" si="1"/>
        <v>0</v>
      </c>
      <c r="I99" s="9" t="s">
        <v>937</v>
      </c>
      <c r="J99" s="9">
        <v>3</v>
      </c>
      <c r="K99" s="9">
        <v>5</v>
      </c>
      <c r="L99" s="9" t="s">
        <v>938</v>
      </c>
      <c r="M99" s="75">
        <v>0</v>
      </c>
      <c r="N99" s="78">
        <v>414022</v>
      </c>
      <c r="O99" s="81">
        <v>384030</v>
      </c>
    </row>
    <row r="100" spans="1:15" x14ac:dyDescent="0.25">
      <c r="B100" s="5" t="s">
        <v>177</v>
      </c>
      <c r="C100" s="5" t="s">
        <v>1597</v>
      </c>
      <c r="D100" s="6">
        <v>209032</v>
      </c>
      <c r="E100" s="6">
        <v>34800779</v>
      </c>
      <c r="F100" s="1">
        <v>6.006532210097941E-3</v>
      </c>
      <c r="H100" s="32">
        <f t="shared" si="1"/>
        <v>0</v>
      </c>
      <c r="I100" s="9" t="s">
        <v>939</v>
      </c>
      <c r="J100" s="9">
        <v>0</v>
      </c>
      <c r="K100" s="9">
        <v>0</v>
      </c>
      <c r="L100" s="9" t="s">
        <v>940</v>
      </c>
      <c r="M100" s="75">
        <v>0</v>
      </c>
      <c r="N100" s="78">
        <v>104561</v>
      </c>
      <c r="O100" s="81">
        <v>209032</v>
      </c>
    </row>
    <row r="101" spans="1:15" x14ac:dyDescent="0.25">
      <c r="B101" s="5" t="s">
        <v>178</v>
      </c>
      <c r="C101" s="5" t="s">
        <v>1561</v>
      </c>
      <c r="D101" s="6">
        <v>303000</v>
      </c>
      <c r="E101" s="6">
        <v>9075027</v>
      </c>
      <c r="F101" s="1">
        <v>3.3388330414884718E-2</v>
      </c>
      <c r="H101" s="32">
        <f t="shared" si="1"/>
        <v>0</v>
      </c>
      <c r="I101" s="9" t="s">
        <v>939</v>
      </c>
      <c r="J101" s="9">
        <v>0</v>
      </c>
      <c r="K101" s="9">
        <v>0</v>
      </c>
      <c r="L101" s="9" t="s">
        <v>940</v>
      </c>
      <c r="M101" s="75">
        <v>0</v>
      </c>
      <c r="N101" s="78">
        <v>304077</v>
      </c>
      <c r="O101" s="81">
        <v>303000</v>
      </c>
    </row>
    <row r="102" spans="1:15" x14ac:dyDescent="0.25">
      <c r="B102" s="5" t="s">
        <v>179</v>
      </c>
      <c r="C102" s="5" t="s">
        <v>1554</v>
      </c>
      <c r="D102" s="6">
        <v>192679</v>
      </c>
      <c r="E102" s="6">
        <v>28295400</v>
      </c>
      <c r="F102" s="1">
        <v>6.809552082670681E-3</v>
      </c>
      <c r="H102" s="32">
        <f t="shared" si="1"/>
        <v>2.4197926164676942E-3</v>
      </c>
      <c r="I102" s="9" t="s">
        <v>939</v>
      </c>
      <c r="J102" s="9">
        <v>0</v>
      </c>
      <c r="K102" s="9">
        <v>0</v>
      </c>
      <c r="L102" s="9" t="s">
        <v>940</v>
      </c>
      <c r="M102" s="75">
        <v>68469</v>
      </c>
      <c r="N102" s="78">
        <v>459125</v>
      </c>
      <c r="O102" s="81">
        <v>192679</v>
      </c>
    </row>
    <row r="103" spans="1:15" x14ac:dyDescent="0.25">
      <c r="B103" s="5" t="s">
        <v>180</v>
      </c>
      <c r="C103" s="5" t="s">
        <v>2252</v>
      </c>
      <c r="D103" s="6">
        <v>137448</v>
      </c>
      <c r="E103" s="6">
        <v>45236500</v>
      </c>
      <c r="F103" s="1">
        <v>3.0384313552109469E-3</v>
      </c>
      <c r="H103" s="32">
        <f t="shared" si="1"/>
        <v>4.3571010135620571E-2</v>
      </c>
      <c r="I103" s="9" t="s">
        <v>939</v>
      </c>
      <c r="J103" s="9">
        <v>0</v>
      </c>
      <c r="K103" s="9">
        <v>0</v>
      </c>
      <c r="L103" s="9" t="s">
        <v>940</v>
      </c>
      <c r="M103" s="75">
        <v>1971000</v>
      </c>
      <c r="N103" s="78">
        <v>311022</v>
      </c>
      <c r="O103" s="81">
        <v>137448</v>
      </c>
    </row>
    <row r="104" spans="1:15" x14ac:dyDescent="0.25">
      <c r="B104" s="5" t="s">
        <v>181</v>
      </c>
      <c r="C104" s="5" t="s">
        <v>1632</v>
      </c>
      <c r="D104" s="6">
        <v>457460</v>
      </c>
      <c r="E104" s="6">
        <v>30327200</v>
      </c>
      <c r="F104" s="1">
        <v>1.5084148882851037E-2</v>
      </c>
      <c r="H104" s="32">
        <f t="shared" si="1"/>
        <v>0</v>
      </c>
      <c r="I104" s="9" t="s">
        <v>939</v>
      </c>
      <c r="J104" s="9">
        <v>0</v>
      </c>
      <c r="K104" s="9">
        <v>0</v>
      </c>
      <c r="L104" s="9" t="s">
        <v>940</v>
      </c>
      <c r="M104" s="75">
        <v>0</v>
      </c>
      <c r="N104" s="78">
        <v>99033</v>
      </c>
      <c r="O104" s="81">
        <v>457460</v>
      </c>
    </row>
    <row r="105" spans="1:15" x14ac:dyDescent="0.25">
      <c r="B105" s="5" t="s">
        <v>182</v>
      </c>
      <c r="C105" s="5" t="s">
        <v>2253</v>
      </c>
      <c r="D105" s="6">
        <v>42097</v>
      </c>
      <c r="E105" s="6">
        <v>6577400</v>
      </c>
      <c r="F105" s="1">
        <v>6.4002493386444495E-3</v>
      </c>
      <c r="H105" s="32">
        <f t="shared" si="1"/>
        <v>0</v>
      </c>
      <c r="I105" s="9" t="s">
        <v>939</v>
      </c>
      <c r="J105" s="9">
        <v>0</v>
      </c>
      <c r="K105" s="9">
        <v>0</v>
      </c>
      <c r="L105" s="9" t="s">
        <v>940</v>
      </c>
      <c r="M105" s="75">
        <v>0</v>
      </c>
      <c r="N105" s="78">
        <v>204620</v>
      </c>
      <c r="O105" s="81">
        <v>42097</v>
      </c>
    </row>
    <row r="106" spans="1:15" x14ac:dyDescent="0.25">
      <c r="B106" s="5" t="s">
        <v>183</v>
      </c>
      <c r="C106" s="5" t="s">
        <v>1823</v>
      </c>
      <c r="D106" s="6">
        <v>56697</v>
      </c>
      <c r="E106" s="6">
        <v>19061900</v>
      </c>
      <c r="F106" s="1">
        <v>2.9743624717368153E-3</v>
      </c>
      <c r="H106" s="32">
        <f t="shared" si="1"/>
        <v>1.2422686091103194</v>
      </c>
      <c r="I106" s="9" t="s">
        <v>939</v>
      </c>
      <c r="J106" s="9">
        <v>0</v>
      </c>
      <c r="K106" s="9">
        <v>0</v>
      </c>
      <c r="L106" s="9" t="s">
        <v>940</v>
      </c>
      <c r="M106" s="75">
        <v>23680000</v>
      </c>
      <c r="N106" s="78">
        <v>16328095</v>
      </c>
      <c r="O106" s="81">
        <v>56697</v>
      </c>
    </row>
    <row r="107" spans="1:15" x14ac:dyDescent="0.25">
      <c r="A107" t="s">
        <v>1012</v>
      </c>
      <c r="B107" s="5" t="s">
        <v>184</v>
      </c>
      <c r="C107" s="5" t="s">
        <v>1013</v>
      </c>
      <c r="D107" s="6">
        <v>8859018</v>
      </c>
      <c r="E107" s="6">
        <v>1447284400</v>
      </c>
      <c r="F107" s="1">
        <v>6.1211314099702862E-3</v>
      </c>
      <c r="H107" s="32">
        <f t="shared" si="1"/>
        <v>0</v>
      </c>
      <c r="I107" s="9" t="s">
        <v>937</v>
      </c>
      <c r="J107" s="9">
        <v>3</v>
      </c>
      <c r="K107" s="9">
        <v>5</v>
      </c>
      <c r="L107" s="9" t="s">
        <v>938</v>
      </c>
      <c r="M107" s="75">
        <v>0</v>
      </c>
      <c r="N107" s="78">
        <v>318127</v>
      </c>
      <c r="O107" s="81">
        <v>8859018</v>
      </c>
    </row>
    <row r="108" spans="1:15" x14ac:dyDescent="0.25">
      <c r="B108" s="5" t="s">
        <v>185</v>
      </c>
      <c r="C108" s="5" t="s">
        <v>1677</v>
      </c>
      <c r="D108" s="6">
        <v>686756</v>
      </c>
      <c r="E108" s="6">
        <v>25444221</v>
      </c>
      <c r="F108" s="1">
        <v>2.6990647503022394E-2</v>
      </c>
      <c r="H108" s="32">
        <f t="shared" si="1"/>
        <v>4.6965477937013674E-2</v>
      </c>
      <c r="I108" s="9" t="s">
        <v>939</v>
      </c>
      <c r="J108" s="9">
        <v>0</v>
      </c>
      <c r="K108" s="9">
        <v>0</v>
      </c>
      <c r="L108" s="9" t="s">
        <v>940</v>
      </c>
      <c r="M108" s="75">
        <v>1195000</v>
      </c>
      <c r="N108" s="78">
        <v>242111</v>
      </c>
      <c r="O108" s="81">
        <v>686756</v>
      </c>
    </row>
    <row r="109" spans="1:15" x14ac:dyDescent="0.25">
      <c r="B109" s="5" t="s">
        <v>186</v>
      </c>
      <c r="C109" s="5" t="s">
        <v>1774</v>
      </c>
      <c r="D109" s="6">
        <v>234483</v>
      </c>
      <c r="E109" s="6">
        <v>25866126</v>
      </c>
      <c r="F109" s="1">
        <v>1.4884447713584941E-2</v>
      </c>
      <c r="H109" s="32">
        <f t="shared" si="1"/>
        <v>1.38694909318852</v>
      </c>
      <c r="I109" s="9" t="s">
        <v>937</v>
      </c>
      <c r="J109" s="9">
        <v>3</v>
      </c>
      <c r="K109" s="9">
        <v>5</v>
      </c>
      <c r="L109" s="9" t="s">
        <v>938</v>
      </c>
      <c r="M109" s="75">
        <v>35875000</v>
      </c>
      <c r="N109" s="78">
        <v>80596085</v>
      </c>
      <c r="O109" s="81">
        <v>234483</v>
      </c>
    </row>
    <row r="110" spans="1:15" x14ac:dyDescent="0.25">
      <c r="B110" s="5" t="s">
        <v>187</v>
      </c>
      <c r="C110" s="5" t="s">
        <v>1451</v>
      </c>
      <c r="D110" s="6">
        <v>34540546</v>
      </c>
      <c r="E110" s="6">
        <v>7381171217</v>
      </c>
      <c r="F110" s="1">
        <v>5.292019769171004E-3</v>
      </c>
      <c r="H110" s="32">
        <f t="shared" si="1"/>
        <v>0</v>
      </c>
      <c r="I110" s="9" t="s">
        <v>944</v>
      </c>
      <c r="J110" s="9">
        <v>1</v>
      </c>
      <c r="K110" s="9">
        <v>1</v>
      </c>
      <c r="L110" s="9" t="s">
        <v>938</v>
      </c>
      <c r="M110" s="75">
        <v>0</v>
      </c>
      <c r="N110" s="78">
        <v>41421</v>
      </c>
      <c r="O110" s="81">
        <v>34540546</v>
      </c>
    </row>
    <row r="111" spans="1:15" x14ac:dyDescent="0.25">
      <c r="B111" s="5" t="s">
        <v>188</v>
      </c>
      <c r="C111" s="5" t="s">
        <v>2254</v>
      </c>
      <c r="D111" s="6">
        <v>33305</v>
      </c>
      <c r="E111" s="6">
        <v>4113559</v>
      </c>
      <c r="F111" s="1">
        <v>8.0963953598331764E-3</v>
      </c>
      <c r="H111" s="32">
        <f t="shared" si="1"/>
        <v>1.5801402143496665E-2</v>
      </c>
      <c r="I111" s="9" t="s">
        <v>939</v>
      </c>
      <c r="J111" s="9">
        <v>0</v>
      </c>
      <c r="K111" s="9">
        <v>0</v>
      </c>
      <c r="L111" s="9" t="s">
        <v>940</v>
      </c>
      <c r="M111" s="75">
        <v>65000</v>
      </c>
      <c r="N111" s="78">
        <v>138552</v>
      </c>
      <c r="O111" s="81">
        <v>33305</v>
      </c>
    </row>
    <row r="112" spans="1:15" x14ac:dyDescent="0.25">
      <c r="B112" s="5" t="s">
        <v>189</v>
      </c>
      <c r="C112" s="5" t="s">
        <v>2020</v>
      </c>
      <c r="D112" s="6">
        <v>179728</v>
      </c>
      <c r="E112" s="6">
        <v>11360600</v>
      </c>
      <c r="F112" s="1">
        <v>1.5820291181803777E-2</v>
      </c>
      <c r="H112" s="32">
        <f t="shared" si="1"/>
        <v>0.19409186134535147</v>
      </c>
      <c r="I112" s="9" t="s">
        <v>939</v>
      </c>
      <c r="J112" s="9">
        <v>0</v>
      </c>
      <c r="K112" s="9">
        <v>0</v>
      </c>
      <c r="L112" s="9" t="s">
        <v>940</v>
      </c>
      <c r="M112" s="75">
        <v>2205000</v>
      </c>
      <c r="N112" s="78">
        <v>6627279</v>
      </c>
      <c r="O112" s="81">
        <v>179728</v>
      </c>
    </row>
    <row r="113" spans="1:15" x14ac:dyDescent="0.25">
      <c r="B113" s="5" t="s">
        <v>190</v>
      </c>
      <c r="C113" s="5" t="s">
        <v>1546</v>
      </c>
      <c r="D113" s="6">
        <v>4536131</v>
      </c>
      <c r="E113" s="6">
        <v>603544158</v>
      </c>
      <c r="F113" s="1">
        <v>7.5158228936083914E-3</v>
      </c>
      <c r="H113" s="32">
        <f t="shared" si="1"/>
        <v>3.2491408855621793E-3</v>
      </c>
      <c r="I113" s="9" t="s">
        <v>943</v>
      </c>
      <c r="J113" s="9">
        <v>2</v>
      </c>
      <c r="K113" s="9">
        <v>3</v>
      </c>
      <c r="L113" s="9" t="s">
        <v>938</v>
      </c>
      <c r="M113" s="75">
        <v>1961000</v>
      </c>
      <c r="N113" s="78">
        <v>1790939</v>
      </c>
      <c r="O113" s="81">
        <v>4536131</v>
      </c>
    </row>
    <row r="114" spans="1:15" x14ac:dyDescent="0.25">
      <c r="A114" t="s">
        <v>1014</v>
      </c>
      <c r="B114" s="5" t="s">
        <v>191</v>
      </c>
      <c r="C114" s="5" t="s">
        <v>1015</v>
      </c>
      <c r="D114" s="6">
        <v>996444</v>
      </c>
      <c r="E114" s="6">
        <v>159643200</v>
      </c>
      <c r="F114" s="1">
        <v>6.2416939775699811E-3</v>
      </c>
      <c r="H114" s="32">
        <f t="shared" si="1"/>
        <v>0</v>
      </c>
      <c r="I114" s="9" t="s">
        <v>942</v>
      </c>
      <c r="J114" s="9">
        <v>2</v>
      </c>
      <c r="K114" s="9">
        <v>4</v>
      </c>
      <c r="L114" s="9" t="s">
        <v>938</v>
      </c>
      <c r="M114" s="75">
        <v>0</v>
      </c>
      <c r="N114" s="78">
        <v>97989</v>
      </c>
      <c r="O114" s="81">
        <v>996444</v>
      </c>
    </row>
    <row r="115" spans="1:15" x14ac:dyDescent="0.25">
      <c r="B115" s="5" t="s">
        <v>192</v>
      </c>
      <c r="C115" s="5" t="s">
        <v>1851</v>
      </c>
      <c r="D115" s="6">
        <v>58346</v>
      </c>
      <c r="E115" s="6">
        <v>7462900</v>
      </c>
      <c r="F115" s="1">
        <v>7.818140401184526E-3</v>
      </c>
      <c r="H115" s="32">
        <f t="shared" si="1"/>
        <v>0</v>
      </c>
      <c r="I115" s="9" t="s">
        <v>939</v>
      </c>
      <c r="J115" s="9">
        <v>0</v>
      </c>
      <c r="K115" s="9">
        <v>0</v>
      </c>
      <c r="L115" s="9" t="s">
        <v>940</v>
      </c>
      <c r="M115" s="75">
        <v>0</v>
      </c>
      <c r="N115" s="78">
        <v>95519</v>
      </c>
      <c r="O115" s="81">
        <v>58346</v>
      </c>
    </row>
    <row r="116" spans="1:15" x14ac:dyDescent="0.25">
      <c r="B116" s="5" t="s">
        <v>193</v>
      </c>
      <c r="C116" s="5" t="s">
        <v>1544</v>
      </c>
      <c r="D116" s="6">
        <v>153210</v>
      </c>
      <c r="E116" s="6">
        <v>9328464</v>
      </c>
      <c r="F116" s="1">
        <v>2.4510466031706826E-2</v>
      </c>
      <c r="H116" s="32">
        <f t="shared" si="1"/>
        <v>0</v>
      </c>
      <c r="I116" s="9" t="s">
        <v>939</v>
      </c>
      <c r="J116" s="9">
        <v>0</v>
      </c>
      <c r="K116" s="9">
        <v>0</v>
      </c>
      <c r="L116" s="9" t="s">
        <v>940</v>
      </c>
      <c r="M116" s="75">
        <v>0</v>
      </c>
      <c r="N116" s="78">
        <v>7604067</v>
      </c>
      <c r="O116" s="81">
        <v>153210</v>
      </c>
    </row>
    <row r="117" spans="1:15" x14ac:dyDescent="0.25">
      <c r="B117" s="5" t="s">
        <v>194</v>
      </c>
      <c r="C117" s="5" t="s">
        <v>1726</v>
      </c>
      <c r="D117" s="6">
        <v>5566450</v>
      </c>
      <c r="E117" s="6">
        <v>663936500</v>
      </c>
      <c r="F117" s="1">
        <v>8.3840096153773736E-3</v>
      </c>
      <c r="H117" s="32">
        <f t="shared" si="1"/>
        <v>0</v>
      </c>
      <c r="I117" s="9" t="s">
        <v>943</v>
      </c>
      <c r="J117" s="9">
        <v>2</v>
      </c>
      <c r="K117" s="9">
        <v>3</v>
      </c>
      <c r="L117" s="9" t="s">
        <v>938</v>
      </c>
      <c r="M117" s="75">
        <v>0</v>
      </c>
      <c r="N117" s="78">
        <v>71709</v>
      </c>
      <c r="O117" s="81">
        <v>5566450</v>
      </c>
    </row>
    <row r="118" spans="1:15" x14ac:dyDescent="0.25">
      <c r="B118" s="5" t="s">
        <v>195</v>
      </c>
      <c r="C118" s="5" t="s">
        <v>1998</v>
      </c>
      <c r="D118" s="6">
        <v>51697</v>
      </c>
      <c r="E118" s="6">
        <v>5270172</v>
      </c>
      <c r="F118" s="1">
        <v>9.8093572657590687E-3</v>
      </c>
      <c r="H118" s="32">
        <f t="shared" si="1"/>
        <v>0.11669448359560182</v>
      </c>
      <c r="I118" s="9" t="s">
        <v>939</v>
      </c>
      <c r="J118" s="9">
        <v>0</v>
      </c>
      <c r="K118" s="9">
        <v>0</v>
      </c>
      <c r="L118" s="9" t="s">
        <v>940</v>
      </c>
      <c r="M118" s="75">
        <v>615000</v>
      </c>
      <c r="N118" s="78">
        <v>761175</v>
      </c>
      <c r="O118" s="81">
        <v>51697</v>
      </c>
    </row>
    <row r="119" spans="1:15" x14ac:dyDescent="0.25">
      <c r="B119" s="5" t="s">
        <v>196</v>
      </c>
      <c r="C119" s="5" t="s">
        <v>1528</v>
      </c>
      <c r="D119" s="6">
        <v>876425</v>
      </c>
      <c r="E119" s="6">
        <v>80059773</v>
      </c>
      <c r="F119" s="1">
        <v>1.0947133212581055E-2</v>
      </c>
      <c r="H119" s="32">
        <f t="shared" si="1"/>
        <v>0</v>
      </c>
      <c r="I119" s="9" t="s">
        <v>945</v>
      </c>
      <c r="J119" s="9">
        <v>3</v>
      </c>
      <c r="K119" s="9">
        <v>7</v>
      </c>
      <c r="L119" s="9" t="s">
        <v>938</v>
      </c>
      <c r="M119" s="75">
        <v>0</v>
      </c>
      <c r="N119" s="78">
        <v>4764747</v>
      </c>
      <c r="O119" s="81">
        <v>876425</v>
      </c>
    </row>
    <row r="120" spans="1:15" x14ac:dyDescent="0.25">
      <c r="B120" s="5" t="s">
        <v>197</v>
      </c>
      <c r="C120" s="5" t="s">
        <v>1650</v>
      </c>
      <c r="D120" s="6">
        <v>3201725</v>
      </c>
      <c r="E120" s="6">
        <v>390531000</v>
      </c>
      <c r="F120" s="1">
        <v>8.1983888602953411E-3</v>
      </c>
      <c r="H120" s="32">
        <f t="shared" si="1"/>
        <v>0</v>
      </c>
      <c r="I120" s="9" t="s">
        <v>942</v>
      </c>
      <c r="J120" s="9">
        <v>2</v>
      </c>
      <c r="K120" s="9">
        <v>4</v>
      </c>
      <c r="L120" s="9" t="s">
        <v>938</v>
      </c>
      <c r="M120" s="75">
        <v>0</v>
      </c>
      <c r="N120" s="78">
        <v>155734</v>
      </c>
      <c r="O120" s="81">
        <v>3201725</v>
      </c>
    </row>
    <row r="121" spans="1:15" x14ac:dyDescent="0.25">
      <c r="A121" t="s">
        <v>1016</v>
      </c>
      <c r="B121" s="5" t="s">
        <v>198</v>
      </c>
      <c r="C121" s="5" t="s">
        <v>1017</v>
      </c>
      <c r="D121" s="6">
        <v>159154</v>
      </c>
      <c r="E121" s="6">
        <v>14595800</v>
      </c>
      <c r="F121" s="1">
        <v>1.0904095698762658E-2</v>
      </c>
      <c r="H121" s="32">
        <f t="shared" si="1"/>
        <v>0</v>
      </c>
      <c r="I121" s="9" t="s">
        <v>939</v>
      </c>
      <c r="J121" s="9">
        <v>0</v>
      </c>
      <c r="K121" s="9">
        <v>0</v>
      </c>
      <c r="L121" s="9" t="s">
        <v>940</v>
      </c>
      <c r="M121" s="75">
        <v>0</v>
      </c>
      <c r="N121" s="78">
        <v>280179</v>
      </c>
      <c r="O121" s="81">
        <v>159154</v>
      </c>
    </row>
    <row r="122" spans="1:15" x14ac:dyDescent="0.25">
      <c r="B122" s="5" t="s">
        <v>199</v>
      </c>
      <c r="C122" s="5" t="s">
        <v>1919</v>
      </c>
      <c r="D122" s="6">
        <v>179627</v>
      </c>
      <c r="E122" s="6">
        <v>25648576</v>
      </c>
      <c r="F122" s="1">
        <v>7.0033907535451481E-3</v>
      </c>
      <c r="H122" s="32">
        <f t="shared" si="1"/>
        <v>7.6612440394351722E-2</v>
      </c>
      <c r="I122" s="9" t="s">
        <v>939</v>
      </c>
      <c r="J122" s="9">
        <v>0</v>
      </c>
      <c r="K122" s="9">
        <v>0</v>
      </c>
      <c r="L122" s="9" t="s">
        <v>940</v>
      </c>
      <c r="M122" s="75">
        <v>1965000</v>
      </c>
      <c r="N122" s="78">
        <v>663740</v>
      </c>
      <c r="O122" s="81">
        <v>179627</v>
      </c>
    </row>
    <row r="123" spans="1:15" x14ac:dyDescent="0.25">
      <c r="B123" s="5" t="s">
        <v>200</v>
      </c>
      <c r="C123" s="5" t="s">
        <v>1922</v>
      </c>
      <c r="D123" s="6">
        <v>450708</v>
      </c>
      <c r="E123" s="6">
        <v>59533822</v>
      </c>
      <c r="F123" s="1">
        <v>7.5706209488784378E-3</v>
      </c>
      <c r="H123" s="32">
        <f t="shared" si="1"/>
        <v>0.17158313806897868</v>
      </c>
      <c r="I123" s="9" t="s">
        <v>939</v>
      </c>
      <c r="J123" s="9">
        <v>0</v>
      </c>
      <c r="K123" s="9">
        <v>0</v>
      </c>
      <c r="L123" s="9" t="s">
        <v>940</v>
      </c>
      <c r="M123" s="75">
        <v>10215000</v>
      </c>
      <c r="N123" s="78">
        <v>6231425</v>
      </c>
      <c r="O123" s="81">
        <v>450708</v>
      </c>
    </row>
    <row r="124" spans="1:15" x14ac:dyDescent="0.25">
      <c r="B124" s="5" t="s">
        <v>201</v>
      </c>
      <c r="C124" s="5" t="s">
        <v>1831</v>
      </c>
      <c r="D124" s="6">
        <v>2821765</v>
      </c>
      <c r="E124" s="6">
        <v>622093100</v>
      </c>
      <c r="F124" s="1">
        <v>5.1776542771491919E-3</v>
      </c>
      <c r="H124" s="32">
        <f t="shared" si="1"/>
        <v>0</v>
      </c>
      <c r="I124" s="9" t="s">
        <v>943</v>
      </c>
      <c r="J124" s="9">
        <v>2</v>
      </c>
      <c r="K124" s="9">
        <v>3</v>
      </c>
      <c r="L124" s="9" t="s">
        <v>938</v>
      </c>
      <c r="M124" s="75">
        <v>0</v>
      </c>
      <c r="N124" s="78">
        <v>314321</v>
      </c>
      <c r="O124" s="81">
        <v>2821765</v>
      </c>
    </row>
    <row r="125" spans="1:15" x14ac:dyDescent="0.25">
      <c r="B125" s="5" t="s">
        <v>202</v>
      </c>
      <c r="C125" s="5" t="s">
        <v>1758</v>
      </c>
      <c r="D125" s="6">
        <v>330610</v>
      </c>
      <c r="E125" s="6">
        <v>22712004</v>
      </c>
      <c r="F125" s="1">
        <v>1.4556619486329784E-2</v>
      </c>
      <c r="H125" s="32">
        <f t="shared" si="1"/>
        <v>0</v>
      </c>
      <c r="I125" s="9" t="s">
        <v>939</v>
      </c>
      <c r="J125" s="9">
        <v>0</v>
      </c>
      <c r="K125" s="9">
        <v>0</v>
      </c>
      <c r="L125" s="9" t="s">
        <v>940</v>
      </c>
      <c r="M125" s="75">
        <v>0</v>
      </c>
      <c r="N125" s="78">
        <v>20887</v>
      </c>
      <c r="O125" s="81">
        <v>330610</v>
      </c>
    </row>
    <row r="126" spans="1:15" x14ac:dyDescent="0.25">
      <c r="B126" s="5" t="s">
        <v>203</v>
      </c>
      <c r="C126" s="5" t="s">
        <v>2255</v>
      </c>
      <c r="D126" s="6">
        <v>22503</v>
      </c>
      <c r="E126" s="6">
        <v>2414462</v>
      </c>
      <c r="F126" s="1">
        <v>9.3200886988488527E-3</v>
      </c>
      <c r="H126" s="32">
        <f t="shared" si="1"/>
        <v>0</v>
      </c>
      <c r="I126" s="9" t="s">
        <v>939</v>
      </c>
      <c r="J126" s="9">
        <v>0</v>
      </c>
      <c r="K126" s="9">
        <v>0</v>
      </c>
      <c r="L126" s="9" t="s">
        <v>940</v>
      </c>
      <c r="M126" s="75">
        <v>0</v>
      </c>
      <c r="N126" s="78">
        <v>878171</v>
      </c>
      <c r="O126" s="81">
        <v>22503</v>
      </c>
    </row>
    <row r="127" spans="1:15" x14ac:dyDescent="0.25">
      <c r="B127" s="5" t="s">
        <v>204</v>
      </c>
      <c r="C127" s="5" t="s">
        <v>1809</v>
      </c>
      <c r="D127" s="6">
        <v>316497</v>
      </c>
      <c r="E127" s="6">
        <v>79796700</v>
      </c>
      <c r="F127" s="1">
        <v>3.9662918391362052E-3</v>
      </c>
      <c r="H127" s="32">
        <f t="shared" si="1"/>
        <v>0</v>
      </c>
      <c r="I127" s="9" t="s">
        <v>939</v>
      </c>
      <c r="J127" s="9">
        <v>0</v>
      </c>
      <c r="K127" s="9">
        <v>0</v>
      </c>
      <c r="L127" s="9" t="s">
        <v>940</v>
      </c>
      <c r="M127" s="75">
        <v>0</v>
      </c>
      <c r="N127" s="78">
        <v>4680410</v>
      </c>
      <c r="O127" s="81">
        <v>316497</v>
      </c>
    </row>
    <row r="128" spans="1:15" x14ac:dyDescent="0.25">
      <c r="B128" s="5" t="s">
        <v>205</v>
      </c>
      <c r="C128" s="5" t="s">
        <v>1748</v>
      </c>
      <c r="D128" s="6">
        <v>2389844</v>
      </c>
      <c r="E128" s="6">
        <v>454356344</v>
      </c>
      <c r="F128" s="1">
        <v>6.037468247609634E-3</v>
      </c>
      <c r="H128" s="32">
        <f t="shared" si="1"/>
        <v>0</v>
      </c>
      <c r="I128" s="9" t="s">
        <v>943</v>
      </c>
      <c r="J128" s="9">
        <v>2</v>
      </c>
      <c r="K128" s="9">
        <v>3</v>
      </c>
      <c r="L128" s="9" t="s">
        <v>938</v>
      </c>
      <c r="M128" s="75">
        <v>0</v>
      </c>
      <c r="N128" s="78">
        <v>44898</v>
      </c>
      <c r="O128" s="81">
        <v>2389844</v>
      </c>
    </row>
    <row r="129" spans="1:15" x14ac:dyDescent="0.25">
      <c r="B129" s="5" t="s">
        <v>206</v>
      </c>
      <c r="C129" s="5" t="s">
        <v>1503</v>
      </c>
      <c r="D129" s="6">
        <v>164337</v>
      </c>
      <c r="E129" s="6">
        <v>4733400</v>
      </c>
      <c r="F129" s="1">
        <v>3.4718595512739259E-2</v>
      </c>
      <c r="H129" s="32">
        <f t="shared" si="1"/>
        <v>0.55879494655004858</v>
      </c>
      <c r="I129" s="9" t="s">
        <v>939</v>
      </c>
      <c r="J129" s="9">
        <v>0</v>
      </c>
      <c r="K129" s="9">
        <v>0</v>
      </c>
      <c r="L129" s="9" t="s">
        <v>940</v>
      </c>
      <c r="M129" s="75">
        <v>2645000</v>
      </c>
      <c r="N129" s="78">
        <v>26122030</v>
      </c>
      <c r="O129" s="81">
        <v>164337</v>
      </c>
    </row>
    <row r="130" spans="1:15" x14ac:dyDescent="0.25">
      <c r="B130" s="5" t="s">
        <v>207</v>
      </c>
      <c r="C130" s="5" t="s">
        <v>1595</v>
      </c>
      <c r="D130" s="6">
        <v>10240328</v>
      </c>
      <c r="E130" s="6">
        <v>2593148101</v>
      </c>
      <c r="F130" s="1">
        <v>4.5733311550646373E-3</v>
      </c>
      <c r="H130" s="32">
        <f t="shared" si="1"/>
        <v>0</v>
      </c>
      <c r="I130" s="9" t="s">
        <v>941</v>
      </c>
      <c r="J130" s="9">
        <v>2</v>
      </c>
      <c r="K130" s="9">
        <v>2</v>
      </c>
      <c r="L130" s="9" t="s">
        <v>938</v>
      </c>
      <c r="M130" s="75">
        <v>0</v>
      </c>
      <c r="N130" s="78">
        <v>147146</v>
      </c>
      <c r="O130" s="81">
        <v>10240328</v>
      </c>
    </row>
    <row r="131" spans="1:15" x14ac:dyDescent="0.25">
      <c r="B131" s="5" t="s">
        <v>208</v>
      </c>
      <c r="C131" s="5" t="s">
        <v>1731</v>
      </c>
      <c r="D131" s="6">
        <v>121097</v>
      </c>
      <c r="E131" s="6">
        <v>10940719</v>
      </c>
      <c r="F131" s="1">
        <v>1.1068468169230926E-2</v>
      </c>
      <c r="H131" s="32">
        <f t="shared" ref="H131:H194" si="2">M131/E131</f>
        <v>0.34458430017259378</v>
      </c>
      <c r="I131" s="9" t="s">
        <v>939</v>
      </c>
      <c r="J131" s="9">
        <v>0</v>
      </c>
      <c r="K131" s="9">
        <v>0</v>
      </c>
      <c r="L131" s="9" t="s">
        <v>940</v>
      </c>
      <c r="M131" s="75">
        <v>3770000</v>
      </c>
      <c r="N131" s="78">
        <v>52031389</v>
      </c>
      <c r="O131" s="81">
        <v>121097</v>
      </c>
    </row>
    <row r="132" spans="1:15" x14ac:dyDescent="0.25">
      <c r="B132" s="5" t="s">
        <v>209</v>
      </c>
      <c r="C132" s="5" t="s">
        <v>1829</v>
      </c>
      <c r="D132" s="6">
        <v>11503376</v>
      </c>
      <c r="E132" s="6">
        <v>4868292100</v>
      </c>
      <c r="F132" s="1">
        <v>2.4786394801577334E-3</v>
      </c>
      <c r="H132" s="32">
        <f t="shared" si="2"/>
        <v>1.3341434463227874E-3</v>
      </c>
      <c r="I132" s="9" t="s">
        <v>944</v>
      </c>
      <c r="J132" s="9">
        <v>1</v>
      </c>
      <c r="K132" s="9">
        <v>1</v>
      </c>
      <c r="L132" s="9" t="s">
        <v>938</v>
      </c>
      <c r="M132" s="75">
        <v>6495000</v>
      </c>
      <c r="N132" s="78">
        <v>33112251</v>
      </c>
      <c r="O132" s="81">
        <v>11503376</v>
      </c>
    </row>
    <row r="133" spans="1:15" x14ac:dyDescent="0.25">
      <c r="B133" s="5" t="s">
        <v>210</v>
      </c>
      <c r="C133" s="5" t="s">
        <v>1775</v>
      </c>
      <c r="D133" s="6">
        <v>9956285</v>
      </c>
      <c r="E133" s="6">
        <v>3241220600</v>
      </c>
      <c r="F133" s="1">
        <v>3.4683020341164067E-3</v>
      </c>
      <c r="H133" s="32">
        <f t="shared" si="2"/>
        <v>1.7746400846644008E-3</v>
      </c>
      <c r="I133" s="9" t="s">
        <v>943</v>
      </c>
      <c r="J133" s="9">
        <v>2</v>
      </c>
      <c r="K133" s="9">
        <v>3</v>
      </c>
      <c r="L133" s="9" t="s">
        <v>949</v>
      </c>
      <c r="M133" s="75">
        <v>5752000</v>
      </c>
      <c r="N133" s="78">
        <v>2113699</v>
      </c>
      <c r="O133" s="81">
        <v>9956285</v>
      </c>
    </row>
    <row r="134" spans="1:15" x14ac:dyDescent="0.25">
      <c r="B134" s="5" t="s">
        <v>211</v>
      </c>
      <c r="C134" s="5" t="s">
        <v>1574</v>
      </c>
      <c r="D134" s="6">
        <v>2216183</v>
      </c>
      <c r="E134" s="6">
        <v>208051024</v>
      </c>
      <c r="F134" s="1">
        <v>1.0652112916300763E-2</v>
      </c>
      <c r="H134" s="32">
        <f t="shared" si="2"/>
        <v>0</v>
      </c>
      <c r="I134" s="9" t="s">
        <v>943</v>
      </c>
      <c r="J134" s="9">
        <v>2</v>
      </c>
      <c r="K134" s="9">
        <v>3</v>
      </c>
      <c r="L134" s="9" t="s">
        <v>938</v>
      </c>
      <c r="M134" s="75">
        <v>0</v>
      </c>
      <c r="N134" s="78">
        <v>231033</v>
      </c>
      <c r="O134" s="81">
        <v>2216183</v>
      </c>
    </row>
    <row r="135" spans="1:15" x14ac:dyDescent="0.25">
      <c r="B135" s="5" t="s">
        <v>212</v>
      </c>
      <c r="C135" s="5" t="s">
        <v>2256</v>
      </c>
      <c r="D135" s="6">
        <v>37709</v>
      </c>
      <c r="E135" s="6">
        <v>23104846</v>
      </c>
      <c r="F135" s="1">
        <v>1.6320818584984293E-3</v>
      </c>
      <c r="H135" s="32">
        <f t="shared" si="2"/>
        <v>0</v>
      </c>
      <c r="I135" s="9" t="s">
        <v>939</v>
      </c>
      <c r="J135" s="9">
        <v>0</v>
      </c>
      <c r="K135" s="9">
        <v>0</v>
      </c>
      <c r="L135" s="9" t="s">
        <v>940</v>
      </c>
      <c r="M135" s="75">
        <v>0</v>
      </c>
      <c r="N135" s="78">
        <v>7449012</v>
      </c>
      <c r="O135" s="81">
        <v>37709</v>
      </c>
    </row>
    <row r="136" spans="1:15" x14ac:dyDescent="0.25">
      <c r="B136" s="5" t="s">
        <v>213</v>
      </c>
      <c r="C136" s="5" t="s">
        <v>1811</v>
      </c>
      <c r="D136" s="6">
        <v>3040984</v>
      </c>
      <c r="E136" s="6">
        <v>693604500</v>
      </c>
      <c r="F136" s="1">
        <v>4.3843198825843834E-3</v>
      </c>
      <c r="H136" s="32">
        <f t="shared" si="2"/>
        <v>1.939145435186767E-3</v>
      </c>
      <c r="I136" s="9" t="s">
        <v>943</v>
      </c>
      <c r="J136" s="9">
        <v>2</v>
      </c>
      <c r="K136" s="9">
        <v>3</v>
      </c>
      <c r="L136" s="9" t="s">
        <v>938</v>
      </c>
      <c r="M136" s="75">
        <v>1345000</v>
      </c>
      <c r="N136" s="78">
        <v>1281062</v>
      </c>
      <c r="O136" s="81">
        <v>3040984</v>
      </c>
    </row>
    <row r="137" spans="1:15" x14ac:dyDescent="0.25">
      <c r="A137" s="41" t="s">
        <v>1018</v>
      </c>
      <c r="B137" s="5" t="s">
        <v>214</v>
      </c>
      <c r="C137" s="5" t="s">
        <v>1019</v>
      </c>
      <c r="D137" s="6">
        <v>1234880</v>
      </c>
      <c r="E137" s="6">
        <v>121894436</v>
      </c>
      <c r="F137" s="1">
        <v>1.7741384028389942E-2</v>
      </c>
      <c r="H137" s="32">
        <f t="shared" si="2"/>
        <v>0</v>
      </c>
      <c r="I137" s="9" t="s">
        <v>939</v>
      </c>
      <c r="J137" s="9">
        <v>0</v>
      </c>
      <c r="K137" s="9">
        <v>0</v>
      </c>
      <c r="L137" s="9" t="s">
        <v>940</v>
      </c>
      <c r="M137" s="75">
        <v>0</v>
      </c>
      <c r="N137" s="78">
        <v>149343</v>
      </c>
      <c r="O137" s="81">
        <v>1234880</v>
      </c>
    </row>
    <row r="138" spans="1:15" x14ac:dyDescent="0.25">
      <c r="B138" s="5" t="s">
        <v>215</v>
      </c>
      <c r="C138" s="5" t="s">
        <v>1840</v>
      </c>
      <c r="D138" s="6">
        <v>116151</v>
      </c>
      <c r="E138" s="6">
        <v>13258527</v>
      </c>
      <c r="F138" s="1">
        <v>8.7604754283790356E-3</v>
      </c>
      <c r="H138" s="32">
        <f t="shared" si="2"/>
        <v>3.7711579876105392E-2</v>
      </c>
      <c r="I138" s="9" t="s">
        <v>939</v>
      </c>
      <c r="J138" s="9">
        <v>0</v>
      </c>
      <c r="K138" s="9">
        <v>0</v>
      </c>
      <c r="L138" s="9" t="s">
        <v>940</v>
      </c>
      <c r="M138" s="75">
        <v>500000</v>
      </c>
      <c r="N138" s="78">
        <v>4500606</v>
      </c>
      <c r="O138" s="81">
        <v>116151</v>
      </c>
    </row>
    <row r="139" spans="1:15" x14ac:dyDescent="0.25">
      <c r="B139" s="5" t="s">
        <v>216</v>
      </c>
      <c r="C139" s="5" t="s">
        <v>2257</v>
      </c>
      <c r="D139" s="6">
        <v>2251591</v>
      </c>
      <c r="E139" s="6">
        <v>460355452</v>
      </c>
      <c r="F139" s="1">
        <v>6.0468817908123744E-3</v>
      </c>
      <c r="H139" s="32">
        <f t="shared" si="2"/>
        <v>1.5303392127524972E-2</v>
      </c>
      <c r="I139" s="9" t="s">
        <v>941</v>
      </c>
      <c r="J139" s="9">
        <v>2</v>
      </c>
      <c r="K139" s="9">
        <v>2</v>
      </c>
      <c r="L139" s="9" t="s">
        <v>938</v>
      </c>
      <c r="M139" s="75">
        <v>7045000</v>
      </c>
      <c r="N139" s="78">
        <v>748176</v>
      </c>
      <c r="O139" s="81">
        <v>2251591</v>
      </c>
    </row>
    <row r="140" spans="1:15" x14ac:dyDescent="0.25">
      <c r="A140" t="s">
        <v>1020</v>
      </c>
      <c r="B140" s="5" t="s">
        <v>217</v>
      </c>
      <c r="C140" s="5" t="s">
        <v>1021</v>
      </c>
      <c r="D140" s="6">
        <v>1234115</v>
      </c>
      <c r="E140" s="6">
        <v>63667681</v>
      </c>
      <c r="F140" s="1">
        <v>1.9383696415768623E-2</v>
      </c>
      <c r="H140" s="32">
        <f t="shared" si="2"/>
        <v>0</v>
      </c>
      <c r="I140" s="9" t="s">
        <v>946</v>
      </c>
      <c r="J140" s="9">
        <v>3</v>
      </c>
      <c r="K140" s="9">
        <v>6</v>
      </c>
      <c r="L140" s="9" t="s">
        <v>938</v>
      </c>
      <c r="M140" s="75">
        <v>0</v>
      </c>
      <c r="N140" s="78">
        <v>313482</v>
      </c>
      <c r="O140" s="81">
        <v>1234115</v>
      </c>
    </row>
    <row r="141" spans="1:15" x14ac:dyDescent="0.25">
      <c r="A141" t="s">
        <v>1022</v>
      </c>
      <c r="B141" s="5" t="s">
        <v>218</v>
      </c>
      <c r="C141" s="5" t="s">
        <v>1023</v>
      </c>
      <c r="D141" s="6">
        <v>472875</v>
      </c>
      <c r="E141" s="6">
        <v>28263100</v>
      </c>
      <c r="F141" s="1">
        <v>1.6731179523831428E-2</v>
      </c>
      <c r="H141" s="32">
        <f t="shared" si="2"/>
        <v>0</v>
      </c>
      <c r="I141" s="9" t="s">
        <v>939</v>
      </c>
      <c r="J141" s="9">
        <v>0</v>
      </c>
      <c r="K141" s="9">
        <v>0</v>
      </c>
      <c r="L141" s="9" t="s">
        <v>940</v>
      </c>
      <c r="M141" s="75">
        <v>0</v>
      </c>
      <c r="N141" s="78">
        <v>233701</v>
      </c>
      <c r="O141" s="81">
        <v>472875</v>
      </c>
    </row>
    <row r="142" spans="1:15" x14ac:dyDescent="0.25">
      <c r="B142" s="5" t="s">
        <v>219</v>
      </c>
      <c r="C142" s="5" t="s">
        <v>1891</v>
      </c>
      <c r="D142" s="6">
        <v>185626</v>
      </c>
      <c r="E142" s="6">
        <v>21282440</v>
      </c>
      <c r="F142" s="1">
        <v>8.72202623383409E-3</v>
      </c>
      <c r="H142" s="32">
        <f t="shared" si="2"/>
        <v>2.2412843640108936E-2</v>
      </c>
      <c r="I142" s="9" t="s">
        <v>939</v>
      </c>
      <c r="J142" s="9">
        <v>0</v>
      </c>
      <c r="K142" s="9">
        <v>0</v>
      </c>
      <c r="L142" s="9" t="s">
        <v>940</v>
      </c>
      <c r="M142" s="75">
        <v>477000</v>
      </c>
      <c r="N142" s="78">
        <v>350228</v>
      </c>
      <c r="O142" s="81">
        <v>185626</v>
      </c>
    </row>
    <row r="143" spans="1:15" x14ac:dyDescent="0.25">
      <c r="B143" s="5" t="s">
        <v>220</v>
      </c>
      <c r="C143" s="5" t="s">
        <v>1529</v>
      </c>
      <c r="D143" s="6">
        <v>423385</v>
      </c>
      <c r="E143" s="6">
        <v>35592405</v>
      </c>
      <c r="F143" s="1">
        <v>1.1895374870003868E-2</v>
      </c>
      <c r="H143" s="32">
        <f t="shared" si="2"/>
        <v>0</v>
      </c>
      <c r="I143" s="9" t="s">
        <v>950</v>
      </c>
      <c r="J143" s="9">
        <v>4</v>
      </c>
      <c r="K143" s="9">
        <v>10</v>
      </c>
      <c r="L143" s="9" t="s">
        <v>949</v>
      </c>
      <c r="M143" s="75">
        <v>0</v>
      </c>
      <c r="N143" s="78">
        <v>327076</v>
      </c>
      <c r="O143" s="81">
        <v>423385</v>
      </c>
    </row>
    <row r="144" spans="1:15" x14ac:dyDescent="0.25">
      <c r="B144" s="5" t="s">
        <v>221</v>
      </c>
      <c r="C144" s="5" t="s">
        <v>1704</v>
      </c>
      <c r="D144" s="6">
        <v>140002</v>
      </c>
      <c r="E144" s="6">
        <v>27441000</v>
      </c>
      <c r="F144" s="1">
        <v>5.1019277723115047E-3</v>
      </c>
      <c r="H144" s="32">
        <f t="shared" si="2"/>
        <v>0</v>
      </c>
      <c r="I144" s="9" t="s">
        <v>939</v>
      </c>
      <c r="J144" s="9">
        <v>0</v>
      </c>
      <c r="K144" s="9">
        <v>0</v>
      </c>
      <c r="L144" s="9" t="s">
        <v>940</v>
      </c>
      <c r="M144" s="75">
        <v>0</v>
      </c>
      <c r="N144" s="78">
        <v>545511</v>
      </c>
      <c r="O144" s="81">
        <v>140002</v>
      </c>
    </row>
    <row r="145" spans="1:15" x14ac:dyDescent="0.25">
      <c r="B145" s="5" t="s">
        <v>222</v>
      </c>
      <c r="C145" s="5" t="s">
        <v>1687</v>
      </c>
      <c r="D145" s="6">
        <v>378786</v>
      </c>
      <c r="E145" s="6">
        <v>47186523</v>
      </c>
      <c r="F145" s="1">
        <v>8.0274191849227794E-3</v>
      </c>
      <c r="H145" s="32">
        <f t="shared" si="2"/>
        <v>0</v>
      </c>
      <c r="I145" s="9" t="s">
        <v>939</v>
      </c>
      <c r="J145" s="9">
        <v>0</v>
      </c>
      <c r="K145" s="9">
        <v>0</v>
      </c>
      <c r="L145" s="9" t="s">
        <v>940</v>
      </c>
      <c r="M145" s="75">
        <v>0</v>
      </c>
      <c r="N145" s="78">
        <v>221272</v>
      </c>
      <c r="O145" s="81">
        <v>378786</v>
      </c>
    </row>
    <row r="146" spans="1:15" x14ac:dyDescent="0.25">
      <c r="B146" s="5" t="s">
        <v>223</v>
      </c>
      <c r="C146" s="5" t="s">
        <v>1723</v>
      </c>
      <c r="D146" s="6">
        <v>235003</v>
      </c>
      <c r="E146" s="6">
        <v>17915000</v>
      </c>
      <c r="F146" s="1">
        <v>1.3117666759698577E-2</v>
      </c>
      <c r="H146" s="32">
        <f t="shared" si="2"/>
        <v>0</v>
      </c>
      <c r="I146" s="9" t="s">
        <v>939</v>
      </c>
      <c r="J146" s="9">
        <v>0</v>
      </c>
      <c r="K146" s="9">
        <v>0</v>
      </c>
      <c r="L146" s="9" t="s">
        <v>940</v>
      </c>
      <c r="M146" s="75">
        <v>0</v>
      </c>
      <c r="N146" s="78">
        <v>1794534</v>
      </c>
      <c r="O146" s="81">
        <v>235003</v>
      </c>
    </row>
    <row r="147" spans="1:15" x14ac:dyDescent="0.25">
      <c r="B147" s="5" t="s">
        <v>224</v>
      </c>
      <c r="C147" s="5" t="s">
        <v>1609</v>
      </c>
      <c r="D147" s="6">
        <v>1247425</v>
      </c>
      <c r="E147" s="6">
        <v>147944500</v>
      </c>
      <c r="F147" s="1">
        <v>8.4317091882428891E-3</v>
      </c>
      <c r="H147" s="32">
        <f t="shared" si="2"/>
        <v>0</v>
      </c>
      <c r="I147" s="9" t="s">
        <v>943</v>
      </c>
      <c r="J147" s="9">
        <v>2</v>
      </c>
      <c r="K147" s="9">
        <v>3</v>
      </c>
      <c r="L147" s="9" t="s">
        <v>938</v>
      </c>
      <c r="M147" s="75">
        <v>0</v>
      </c>
      <c r="N147" s="78">
        <v>62923</v>
      </c>
      <c r="O147" s="81">
        <v>1247425</v>
      </c>
    </row>
    <row r="148" spans="1:15" x14ac:dyDescent="0.25">
      <c r="B148" s="5" t="s">
        <v>225</v>
      </c>
      <c r="C148" s="5" t="s">
        <v>1638</v>
      </c>
      <c r="D148" s="6">
        <v>63016</v>
      </c>
      <c r="E148" s="6">
        <v>5523501</v>
      </c>
      <c r="F148" s="1">
        <v>1.1408706181097822E-2</v>
      </c>
      <c r="H148" s="32">
        <f t="shared" si="2"/>
        <v>8.7263494656740354E-2</v>
      </c>
      <c r="I148" s="9" t="s">
        <v>939</v>
      </c>
      <c r="J148" s="9">
        <v>0</v>
      </c>
      <c r="K148" s="9">
        <v>0</v>
      </c>
      <c r="L148" s="9" t="s">
        <v>940</v>
      </c>
      <c r="M148" s="75">
        <v>482000</v>
      </c>
      <c r="N148" s="78">
        <v>461832</v>
      </c>
      <c r="O148" s="81">
        <v>63016</v>
      </c>
    </row>
    <row r="149" spans="1:15" x14ac:dyDescent="0.25">
      <c r="B149" s="5" t="s">
        <v>226</v>
      </c>
      <c r="C149" s="5" t="s">
        <v>1695</v>
      </c>
      <c r="D149" s="6">
        <v>339434</v>
      </c>
      <c r="E149" s="6">
        <v>44066700</v>
      </c>
      <c r="F149" s="1">
        <v>7.7027324487651677E-3</v>
      </c>
      <c r="H149" s="32">
        <f t="shared" si="2"/>
        <v>0</v>
      </c>
      <c r="I149" s="9" t="s">
        <v>937</v>
      </c>
      <c r="J149" s="9">
        <v>3</v>
      </c>
      <c r="K149" s="9">
        <v>5</v>
      </c>
      <c r="L149" s="9" t="s">
        <v>938</v>
      </c>
      <c r="M149" s="75">
        <v>0</v>
      </c>
      <c r="N149" s="78">
        <v>104385</v>
      </c>
      <c r="O149" s="81">
        <v>339434</v>
      </c>
    </row>
    <row r="150" spans="1:15" x14ac:dyDescent="0.25">
      <c r="B150" s="5" t="s">
        <v>227</v>
      </c>
      <c r="C150" s="5" t="s">
        <v>1711</v>
      </c>
      <c r="D150" s="6">
        <v>79440</v>
      </c>
      <c r="E150" s="6">
        <v>8721500</v>
      </c>
      <c r="F150" s="1">
        <v>9.1085249097058989E-3</v>
      </c>
      <c r="H150" s="32">
        <f t="shared" si="2"/>
        <v>0</v>
      </c>
      <c r="I150" s="9" t="s">
        <v>939</v>
      </c>
      <c r="J150" s="9">
        <v>0</v>
      </c>
      <c r="K150" s="9">
        <v>0</v>
      </c>
      <c r="L150" s="9" t="s">
        <v>940</v>
      </c>
      <c r="M150" s="75">
        <v>0</v>
      </c>
      <c r="N150" s="78">
        <v>113976</v>
      </c>
      <c r="O150" s="81">
        <v>79440</v>
      </c>
    </row>
    <row r="151" spans="1:15" x14ac:dyDescent="0.25">
      <c r="B151" s="5" t="s">
        <v>228</v>
      </c>
      <c r="C151" s="5" t="s">
        <v>1470</v>
      </c>
      <c r="D151" s="6">
        <v>95844</v>
      </c>
      <c r="E151" s="6">
        <v>10112519</v>
      </c>
      <c r="F151" s="1">
        <v>9.4777572234969343E-3</v>
      </c>
      <c r="H151" s="32">
        <f t="shared" si="2"/>
        <v>0</v>
      </c>
      <c r="I151" s="9" t="s">
        <v>939</v>
      </c>
      <c r="J151" s="9">
        <v>0</v>
      </c>
      <c r="K151" s="9">
        <v>0</v>
      </c>
      <c r="L151" s="9" t="s">
        <v>940</v>
      </c>
      <c r="M151" s="75">
        <v>0</v>
      </c>
      <c r="N151" s="78">
        <v>34139</v>
      </c>
      <c r="O151" s="81">
        <v>95844</v>
      </c>
    </row>
    <row r="152" spans="1:15" x14ac:dyDescent="0.25">
      <c r="B152" s="5" t="s">
        <v>229</v>
      </c>
      <c r="C152" s="5" t="s">
        <v>2258</v>
      </c>
      <c r="D152" s="6">
        <v>11497</v>
      </c>
      <c r="E152" s="6">
        <v>3081300</v>
      </c>
      <c r="F152" s="1">
        <v>3.7312173433291145E-3</v>
      </c>
      <c r="H152" s="32">
        <f t="shared" si="2"/>
        <v>0</v>
      </c>
      <c r="I152" s="9" t="s">
        <v>939</v>
      </c>
      <c r="J152" s="9">
        <v>0</v>
      </c>
      <c r="K152" s="9">
        <v>0</v>
      </c>
      <c r="L152" s="9" t="s">
        <v>940</v>
      </c>
      <c r="M152" s="75">
        <v>0</v>
      </c>
      <c r="N152" s="78">
        <v>119102</v>
      </c>
      <c r="O152" s="81">
        <v>11497</v>
      </c>
    </row>
    <row r="153" spans="1:15" x14ac:dyDescent="0.25">
      <c r="B153" s="5" t="s">
        <v>230</v>
      </c>
      <c r="C153" s="5" t="s">
        <v>2259</v>
      </c>
      <c r="D153" s="6">
        <v>52099</v>
      </c>
      <c r="E153" s="6">
        <v>10723174</v>
      </c>
      <c r="F153" s="1">
        <v>4.8585428157745083E-3</v>
      </c>
      <c r="H153" s="32">
        <f t="shared" si="2"/>
        <v>0.21355617282718717</v>
      </c>
      <c r="I153" s="9" t="s">
        <v>939</v>
      </c>
      <c r="J153" s="9">
        <v>0</v>
      </c>
      <c r="K153" s="9">
        <v>0</v>
      </c>
      <c r="L153" s="9" t="s">
        <v>940</v>
      </c>
      <c r="M153" s="75">
        <v>2290000</v>
      </c>
      <c r="N153" s="78">
        <v>9201543</v>
      </c>
      <c r="O153" s="81">
        <v>52099</v>
      </c>
    </row>
    <row r="154" spans="1:15" x14ac:dyDescent="0.25">
      <c r="B154" s="5" t="s">
        <v>231</v>
      </c>
      <c r="C154" s="5" t="s">
        <v>1732</v>
      </c>
      <c r="D154" s="6">
        <v>3130728</v>
      </c>
      <c r="E154" s="6">
        <v>772912804</v>
      </c>
      <c r="F154" s="1">
        <v>4.0505578168685639E-3</v>
      </c>
      <c r="H154" s="32">
        <f t="shared" si="2"/>
        <v>0</v>
      </c>
      <c r="I154" s="9" t="s">
        <v>943</v>
      </c>
      <c r="J154" s="9">
        <v>2</v>
      </c>
      <c r="K154" s="9">
        <v>3</v>
      </c>
      <c r="L154" s="9" t="s">
        <v>938</v>
      </c>
      <c r="M154" s="75">
        <v>0</v>
      </c>
      <c r="N154" s="78">
        <v>282309</v>
      </c>
      <c r="O154" s="81">
        <v>3130728</v>
      </c>
    </row>
    <row r="155" spans="1:15" x14ac:dyDescent="0.25">
      <c r="B155" s="5" t="s">
        <v>232</v>
      </c>
      <c r="C155" s="5" t="s">
        <v>2260</v>
      </c>
      <c r="D155" s="6">
        <v>39073</v>
      </c>
      <c r="E155" s="6">
        <v>26705814</v>
      </c>
      <c r="F155" s="1">
        <v>1.6169138300746047E-3</v>
      </c>
      <c r="H155" s="32">
        <f t="shared" si="2"/>
        <v>0</v>
      </c>
      <c r="I155" s="9" t="s">
        <v>939</v>
      </c>
      <c r="J155" s="9">
        <v>0</v>
      </c>
      <c r="K155" s="9">
        <v>0</v>
      </c>
      <c r="L155" s="9" t="s">
        <v>940</v>
      </c>
      <c r="M155" s="75">
        <v>0</v>
      </c>
      <c r="N155" s="78">
        <v>84240</v>
      </c>
      <c r="O155" s="81">
        <v>39073</v>
      </c>
    </row>
    <row r="156" spans="1:15" x14ac:dyDescent="0.25">
      <c r="B156" s="5" t="s">
        <v>233</v>
      </c>
      <c r="C156" s="5" t="s">
        <v>1832</v>
      </c>
      <c r="D156" s="6">
        <v>3763</v>
      </c>
      <c r="E156" s="6">
        <v>6519300</v>
      </c>
      <c r="F156" s="1">
        <v>5.7720920957771539E-4</v>
      </c>
      <c r="H156" s="32">
        <f t="shared" si="2"/>
        <v>0</v>
      </c>
      <c r="I156" s="9" t="s">
        <v>939</v>
      </c>
      <c r="J156" s="9">
        <v>0</v>
      </c>
      <c r="K156" s="9">
        <v>0</v>
      </c>
      <c r="L156" s="9" t="s">
        <v>940</v>
      </c>
      <c r="M156" s="75">
        <v>0</v>
      </c>
      <c r="N156" s="78">
        <v>9947117</v>
      </c>
      <c r="O156" s="81">
        <v>3763</v>
      </c>
    </row>
    <row r="157" spans="1:15" x14ac:dyDescent="0.25">
      <c r="B157" s="5" t="s">
        <v>234</v>
      </c>
      <c r="C157" s="5" t="s">
        <v>2196</v>
      </c>
      <c r="D157" s="6">
        <v>3019749</v>
      </c>
      <c r="E157" s="6">
        <v>716445327</v>
      </c>
      <c r="F157" s="1">
        <v>4.2383708645502829E-3</v>
      </c>
      <c r="H157" s="32">
        <f t="shared" si="2"/>
        <v>1.557690388843865E-2</v>
      </c>
      <c r="I157" s="9" t="s">
        <v>939</v>
      </c>
      <c r="J157" s="9">
        <v>0</v>
      </c>
      <c r="K157" s="9">
        <v>0</v>
      </c>
      <c r="L157" s="9" t="s">
        <v>940</v>
      </c>
      <c r="M157" s="75">
        <v>11160000</v>
      </c>
      <c r="N157" s="78">
        <v>2097583</v>
      </c>
      <c r="O157" s="81">
        <v>3019749</v>
      </c>
    </row>
    <row r="158" spans="1:15" x14ac:dyDescent="0.25">
      <c r="B158" s="5" t="s">
        <v>235</v>
      </c>
      <c r="C158" s="5" t="s">
        <v>1836</v>
      </c>
      <c r="D158" s="6">
        <v>1426673</v>
      </c>
      <c r="E158" s="6">
        <v>177593100</v>
      </c>
      <c r="F158" s="1">
        <v>8.0333808013937479E-3</v>
      </c>
      <c r="H158" s="32">
        <f t="shared" si="2"/>
        <v>0</v>
      </c>
      <c r="I158" s="9" t="s">
        <v>942</v>
      </c>
      <c r="J158" s="9">
        <v>2</v>
      </c>
      <c r="K158" s="9">
        <v>4</v>
      </c>
      <c r="L158" s="9" t="s">
        <v>938</v>
      </c>
      <c r="M158" s="75">
        <v>0</v>
      </c>
      <c r="N158" s="78">
        <v>4034465</v>
      </c>
      <c r="O158" s="81">
        <v>1426673</v>
      </c>
    </row>
    <row r="159" spans="1:15" x14ac:dyDescent="0.25">
      <c r="A159" t="s">
        <v>1024</v>
      </c>
      <c r="B159" s="5" t="s">
        <v>236</v>
      </c>
      <c r="C159" s="5" t="s">
        <v>1025</v>
      </c>
      <c r="D159" s="6">
        <v>1831917</v>
      </c>
      <c r="E159" s="6">
        <v>348786300</v>
      </c>
      <c r="F159" s="1">
        <v>5.2522619151038905E-3</v>
      </c>
      <c r="H159" s="32">
        <f t="shared" si="2"/>
        <v>0</v>
      </c>
      <c r="I159" s="9" t="s">
        <v>937</v>
      </c>
      <c r="J159" s="9">
        <v>3</v>
      </c>
      <c r="K159" s="9">
        <v>5</v>
      </c>
      <c r="L159" s="9" t="s">
        <v>938</v>
      </c>
      <c r="M159" s="75">
        <v>0</v>
      </c>
      <c r="N159" s="78">
        <v>1463204</v>
      </c>
      <c r="O159" s="81">
        <v>1831917</v>
      </c>
    </row>
    <row r="160" spans="1:15" x14ac:dyDescent="0.25">
      <c r="B160" s="5" t="s">
        <v>237</v>
      </c>
      <c r="C160" s="5" t="s">
        <v>1786</v>
      </c>
      <c r="D160" s="6">
        <v>890193</v>
      </c>
      <c r="E160" s="6">
        <v>157645539</v>
      </c>
      <c r="F160" s="1">
        <v>6.1150731325166135E-3</v>
      </c>
      <c r="H160" s="32">
        <f t="shared" si="2"/>
        <v>5.2174010455189601E-2</v>
      </c>
      <c r="I160" s="9" t="s">
        <v>939</v>
      </c>
      <c r="J160" s="9">
        <v>0</v>
      </c>
      <c r="K160" s="9">
        <v>0</v>
      </c>
      <c r="L160" s="9" t="s">
        <v>940</v>
      </c>
      <c r="M160" s="75">
        <v>8225000</v>
      </c>
      <c r="N160" s="78">
        <v>2023715</v>
      </c>
      <c r="O160" s="81">
        <v>890193</v>
      </c>
    </row>
    <row r="161" spans="2:15" x14ac:dyDescent="0.25">
      <c r="B161" s="5" t="s">
        <v>238</v>
      </c>
      <c r="C161" s="5" t="s">
        <v>1776</v>
      </c>
      <c r="D161" s="6">
        <v>1282830</v>
      </c>
      <c r="E161" s="6">
        <v>200754000</v>
      </c>
      <c r="F161" s="1">
        <v>7.4736443607599347E-3</v>
      </c>
      <c r="H161" s="32">
        <f t="shared" si="2"/>
        <v>8.4381880311226676E-2</v>
      </c>
      <c r="I161" s="9" t="s">
        <v>943</v>
      </c>
      <c r="J161" s="9">
        <v>2</v>
      </c>
      <c r="K161" s="9">
        <v>3</v>
      </c>
      <c r="L161" s="9" t="s">
        <v>938</v>
      </c>
      <c r="M161" s="75">
        <v>16940000</v>
      </c>
      <c r="N161" s="78">
        <v>15106258</v>
      </c>
      <c r="O161" s="81">
        <v>1282830</v>
      </c>
    </row>
    <row r="162" spans="2:15" x14ac:dyDescent="0.25">
      <c r="B162" s="5" t="s">
        <v>239</v>
      </c>
      <c r="C162" s="5" t="s">
        <v>2027</v>
      </c>
      <c r="D162" s="6">
        <v>10451130</v>
      </c>
      <c r="E162" s="6">
        <v>1580735479</v>
      </c>
      <c r="F162" s="1">
        <v>8.6439826153860873E-3</v>
      </c>
      <c r="H162" s="32">
        <f t="shared" si="2"/>
        <v>1.084938006885844E-3</v>
      </c>
      <c r="I162" s="9" t="s">
        <v>943</v>
      </c>
      <c r="J162" s="9">
        <v>2</v>
      </c>
      <c r="K162" s="9">
        <v>3</v>
      </c>
      <c r="L162" s="9" t="s">
        <v>938</v>
      </c>
      <c r="M162" s="75">
        <v>1715000</v>
      </c>
      <c r="N162" s="78">
        <v>6764385</v>
      </c>
      <c r="O162" s="81">
        <v>10451130</v>
      </c>
    </row>
    <row r="163" spans="2:15" x14ac:dyDescent="0.25">
      <c r="B163" s="5" t="s">
        <v>240</v>
      </c>
      <c r="C163" s="5" t="s">
        <v>2197</v>
      </c>
      <c r="D163" s="6">
        <v>3274497</v>
      </c>
      <c r="E163" s="6">
        <v>650638624</v>
      </c>
      <c r="F163" s="1">
        <v>5.3661170290437597E-3</v>
      </c>
      <c r="H163" s="32">
        <f t="shared" si="2"/>
        <v>0</v>
      </c>
      <c r="I163" s="9" t="s">
        <v>939</v>
      </c>
      <c r="J163" s="9">
        <v>0</v>
      </c>
      <c r="K163" s="9">
        <v>0</v>
      </c>
      <c r="L163" s="9" t="s">
        <v>940</v>
      </c>
      <c r="M163" s="75">
        <v>0</v>
      </c>
      <c r="N163" s="78">
        <v>134438</v>
      </c>
      <c r="O163" s="81">
        <v>3274497</v>
      </c>
    </row>
    <row r="164" spans="2:15" x14ac:dyDescent="0.25">
      <c r="B164" s="5" t="s">
        <v>241</v>
      </c>
      <c r="C164" s="5" t="s">
        <v>1483</v>
      </c>
      <c r="D164" s="6">
        <v>280716</v>
      </c>
      <c r="E164" s="6">
        <v>12307662</v>
      </c>
      <c r="F164" s="1">
        <v>2.2808231165269244E-2</v>
      </c>
      <c r="H164" s="32">
        <f t="shared" si="2"/>
        <v>0</v>
      </c>
      <c r="I164" s="9" t="s">
        <v>939</v>
      </c>
      <c r="J164" s="9">
        <v>0</v>
      </c>
      <c r="K164" s="9">
        <v>0</v>
      </c>
      <c r="L164" s="9" t="s">
        <v>940</v>
      </c>
      <c r="M164" s="75">
        <v>0</v>
      </c>
      <c r="N164" s="78">
        <v>69057</v>
      </c>
      <c r="O164" s="81">
        <v>280716</v>
      </c>
    </row>
    <row r="165" spans="2:15" x14ac:dyDescent="0.25">
      <c r="B165" s="5" t="s">
        <v>242</v>
      </c>
      <c r="C165" s="5" t="s">
        <v>1684</v>
      </c>
      <c r="D165" s="6">
        <v>15998</v>
      </c>
      <c r="E165" s="6">
        <v>6001100</v>
      </c>
      <c r="F165" s="1">
        <v>2.6658445951575544E-3</v>
      </c>
      <c r="H165" s="32">
        <f t="shared" si="2"/>
        <v>0</v>
      </c>
      <c r="I165" s="9" t="s">
        <v>939</v>
      </c>
      <c r="J165" s="9">
        <v>0</v>
      </c>
      <c r="K165" s="9">
        <v>0</v>
      </c>
      <c r="L165" s="9" t="s">
        <v>940</v>
      </c>
      <c r="M165" s="75">
        <v>0</v>
      </c>
      <c r="N165" s="78">
        <v>54183</v>
      </c>
      <c r="O165" s="81">
        <v>15998</v>
      </c>
    </row>
    <row r="166" spans="2:15" x14ac:dyDescent="0.25">
      <c r="B166" s="5" t="s">
        <v>243</v>
      </c>
      <c r="C166" s="5" t="s">
        <v>1548</v>
      </c>
      <c r="D166" s="6">
        <v>64515</v>
      </c>
      <c r="E166" s="6">
        <v>4519900</v>
      </c>
      <c r="F166" s="1">
        <v>1.4273545874908736E-2</v>
      </c>
      <c r="H166" s="32">
        <f t="shared" si="2"/>
        <v>0</v>
      </c>
      <c r="I166" s="9" t="s">
        <v>939</v>
      </c>
      <c r="J166" s="9">
        <v>0</v>
      </c>
      <c r="K166" s="9">
        <v>0</v>
      </c>
      <c r="L166" s="9" t="s">
        <v>940</v>
      </c>
      <c r="M166" s="75">
        <v>0</v>
      </c>
      <c r="N166" s="78">
        <v>269130</v>
      </c>
      <c r="O166" s="81">
        <v>64515</v>
      </c>
    </row>
    <row r="167" spans="2:15" x14ac:dyDescent="0.25">
      <c r="B167" s="5" t="s">
        <v>244</v>
      </c>
      <c r="C167" s="5" t="s">
        <v>1801</v>
      </c>
      <c r="D167" s="6">
        <v>357242</v>
      </c>
      <c r="E167" s="6">
        <v>23379526</v>
      </c>
      <c r="F167" s="1">
        <v>1.904478302939076E-2</v>
      </c>
      <c r="H167" s="32">
        <f t="shared" si="2"/>
        <v>0.79364312176388863</v>
      </c>
      <c r="I167" s="9" t="s">
        <v>939</v>
      </c>
      <c r="J167" s="9">
        <v>0</v>
      </c>
      <c r="K167" s="9">
        <v>0</v>
      </c>
      <c r="L167" s="9" t="s">
        <v>940</v>
      </c>
      <c r="M167" s="75">
        <v>18555000</v>
      </c>
      <c r="N167" s="78">
        <v>63423580</v>
      </c>
      <c r="O167" s="81">
        <v>357242</v>
      </c>
    </row>
    <row r="168" spans="2:15" x14ac:dyDescent="0.25">
      <c r="B168" s="5" t="s">
        <v>245</v>
      </c>
      <c r="C168" s="5" t="s">
        <v>1447</v>
      </c>
      <c r="D168" s="6">
        <v>24452059</v>
      </c>
      <c r="E168" s="6">
        <v>6067550477</v>
      </c>
      <c r="F168" s="1">
        <v>4.8894546674901939E-3</v>
      </c>
      <c r="H168" s="32">
        <f t="shared" si="2"/>
        <v>1.02182915881822E-3</v>
      </c>
      <c r="I168" s="9" t="s">
        <v>939</v>
      </c>
      <c r="J168" s="9">
        <v>0</v>
      </c>
      <c r="K168" s="9">
        <v>0</v>
      </c>
      <c r="L168" s="9" t="s">
        <v>940</v>
      </c>
      <c r="M168" s="75">
        <v>6200000</v>
      </c>
      <c r="N168" s="78">
        <v>10929458</v>
      </c>
      <c r="O168" s="81">
        <v>24452059</v>
      </c>
    </row>
    <row r="169" spans="2:15" x14ac:dyDescent="0.25">
      <c r="B169" s="5" t="s">
        <v>246</v>
      </c>
      <c r="C169" s="5" t="s">
        <v>2023</v>
      </c>
      <c r="D169" s="6">
        <v>4756724</v>
      </c>
      <c r="E169" s="6">
        <v>1080368389</v>
      </c>
      <c r="F169" s="1">
        <v>4.6701533026805358E-3</v>
      </c>
      <c r="H169" s="32">
        <f t="shared" si="2"/>
        <v>0</v>
      </c>
      <c r="I169" s="9" t="s">
        <v>939</v>
      </c>
      <c r="J169" s="9">
        <v>0</v>
      </c>
      <c r="K169" s="9">
        <v>0</v>
      </c>
      <c r="L169" s="9" t="s">
        <v>940</v>
      </c>
      <c r="M169" s="75">
        <v>0</v>
      </c>
      <c r="N169" s="78">
        <v>24161</v>
      </c>
      <c r="O169" s="81">
        <v>4756724</v>
      </c>
    </row>
    <row r="170" spans="2:15" x14ac:dyDescent="0.25">
      <c r="B170" s="5" t="s">
        <v>247</v>
      </c>
      <c r="C170" s="5" t="s">
        <v>1642</v>
      </c>
      <c r="D170" s="6">
        <v>15893</v>
      </c>
      <c r="E170" s="6">
        <v>1808987</v>
      </c>
      <c r="F170" s="1">
        <v>8.7855799958761454E-3</v>
      </c>
      <c r="H170" s="32">
        <f t="shared" si="2"/>
        <v>0.69541682720771347</v>
      </c>
      <c r="I170" s="9" t="s">
        <v>939</v>
      </c>
      <c r="J170" s="9">
        <v>0</v>
      </c>
      <c r="K170" s="9">
        <v>0</v>
      </c>
      <c r="L170" s="9" t="s">
        <v>940</v>
      </c>
      <c r="M170" s="75">
        <v>1258000</v>
      </c>
      <c r="N170" s="78">
        <v>216195</v>
      </c>
      <c r="O170" s="81">
        <v>15893</v>
      </c>
    </row>
    <row r="171" spans="2:15" x14ac:dyDescent="0.25">
      <c r="B171" s="5" t="s">
        <v>248</v>
      </c>
      <c r="C171" s="5" t="s">
        <v>1857</v>
      </c>
      <c r="D171" s="6">
        <v>287273</v>
      </c>
      <c r="E171" s="6">
        <v>19220657</v>
      </c>
      <c r="F171" s="1">
        <v>1.4946055173868406E-2</v>
      </c>
      <c r="H171" s="32">
        <f t="shared" si="2"/>
        <v>0.74112971268359873</v>
      </c>
      <c r="I171" s="9" t="s">
        <v>939</v>
      </c>
      <c r="J171" s="9">
        <v>0</v>
      </c>
      <c r="K171" s="9">
        <v>0</v>
      </c>
      <c r="L171" s="9" t="s">
        <v>940</v>
      </c>
      <c r="M171" s="75">
        <v>14245000</v>
      </c>
      <c r="N171" s="78">
        <v>39918539</v>
      </c>
      <c r="O171" s="81">
        <v>287273</v>
      </c>
    </row>
    <row r="172" spans="2:15" x14ac:dyDescent="0.25">
      <c r="B172" s="5" t="s">
        <v>249</v>
      </c>
      <c r="C172" s="5" t="s">
        <v>1603</v>
      </c>
      <c r="D172" s="6">
        <v>14868709</v>
      </c>
      <c r="E172" s="6">
        <v>3991958100</v>
      </c>
      <c r="F172" s="1">
        <v>4.4062509072928394E-3</v>
      </c>
      <c r="H172" s="32">
        <f t="shared" si="2"/>
        <v>4.3462380028487773E-4</v>
      </c>
      <c r="I172" s="9" t="s">
        <v>941</v>
      </c>
      <c r="J172" s="9">
        <v>2</v>
      </c>
      <c r="K172" s="9">
        <v>2</v>
      </c>
      <c r="L172" s="9" t="s">
        <v>938</v>
      </c>
      <c r="M172" s="75">
        <v>1735000</v>
      </c>
      <c r="N172" s="78">
        <v>836886</v>
      </c>
      <c r="O172" s="81">
        <v>14868709</v>
      </c>
    </row>
    <row r="173" spans="2:15" x14ac:dyDescent="0.25">
      <c r="B173" s="5" t="s">
        <v>250</v>
      </c>
      <c r="C173" s="5" t="s">
        <v>1616</v>
      </c>
      <c r="D173" s="6">
        <v>761764</v>
      </c>
      <c r="E173" s="6">
        <v>71004470</v>
      </c>
      <c r="F173" s="1">
        <v>1.0728394986963498E-2</v>
      </c>
      <c r="H173" s="32">
        <f t="shared" si="2"/>
        <v>0</v>
      </c>
      <c r="I173" s="9" t="s">
        <v>937</v>
      </c>
      <c r="J173" s="9">
        <v>3</v>
      </c>
      <c r="K173" s="9">
        <v>5</v>
      </c>
      <c r="L173" s="9" t="s">
        <v>938</v>
      </c>
      <c r="M173" s="75">
        <v>0</v>
      </c>
      <c r="N173" s="78">
        <v>732347</v>
      </c>
      <c r="O173" s="81">
        <v>761764</v>
      </c>
    </row>
    <row r="174" spans="2:15" x14ac:dyDescent="0.25">
      <c r="B174" s="5" t="s">
        <v>251</v>
      </c>
      <c r="C174" s="5" t="s">
        <v>1506</v>
      </c>
      <c r="D174" s="6">
        <v>209062</v>
      </c>
      <c r="E174" s="6">
        <v>65700500</v>
      </c>
      <c r="F174" s="1">
        <v>3.1820457987382137E-3</v>
      </c>
      <c r="H174" s="32">
        <f t="shared" si="2"/>
        <v>0</v>
      </c>
      <c r="I174" s="9" t="s">
        <v>939</v>
      </c>
      <c r="J174" s="9">
        <v>0</v>
      </c>
      <c r="K174" s="9">
        <v>0</v>
      </c>
      <c r="L174" s="9" t="s">
        <v>940</v>
      </c>
      <c r="M174" s="75">
        <v>0</v>
      </c>
      <c r="N174" s="78">
        <v>10802608</v>
      </c>
      <c r="O174" s="81">
        <v>209062</v>
      </c>
    </row>
    <row r="175" spans="2:15" x14ac:dyDescent="0.25">
      <c r="B175" s="5" t="s">
        <v>252</v>
      </c>
      <c r="C175" s="5" t="s">
        <v>1674</v>
      </c>
      <c r="D175" s="6">
        <v>134205</v>
      </c>
      <c r="E175" s="6">
        <v>19351620</v>
      </c>
      <c r="F175" s="1">
        <v>6.9350783035218759E-3</v>
      </c>
      <c r="H175" s="32">
        <f t="shared" si="2"/>
        <v>0</v>
      </c>
      <c r="I175" s="9" t="s">
        <v>939</v>
      </c>
      <c r="J175" s="9">
        <v>0</v>
      </c>
      <c r="K175" s="9">
        <v>0</v>
      </c>
      <c r="L175" s="9" t="s">
        <v>940</v>
      </c>
      <c r="M175" s="75">
        <v>0</v>
      </c>
      <c r="N175" s="78">
        <v>185881</v>
      </c>
      <c r="O175" s="81">
        <v>134205</v>
      </c>
    </row>
    <row r="176" spans="2:15" x14ac:dyDescent="0.25">
      <c r="B176" s="5" t="s">
        <v>253</v>
      </c>
      <c r="C176" s="5" t="s">
        <v>1712</v>
      </c>
      <c r="D176" s="6">
        <v>2322012</v>
      </c>
      <c r="E176" s="6">
        <v>351689600</v>
      </c>
      <c r="F176" s="1">
        <v>6.6024471579483723E-3</v>
      </c>
      <c r="H176" s="32">
        <f t="shared" si="2"/>
        <v>0</v>
      </c>
      <c r="I176" s="9" t="s">
        <v>939</v>
      </c>
      <c r="J176" s="9">
        <v>0</v>
      </c>
      <c r="K176" s="9">
        <v>0</v>
      </c>
      <c r="L176" s="9" t="s">
        <v>940</v>
      </c>
      <c r="M176" s="75">
        <v>0</v>
      </c>
      <c r="N176" s="78">
        <v>4020124</v>
      </c>
      <c r="O176" s="81">
        <v>2322012</v>
      </c>
    </row>
    <row r="177" spans="1:15" x14ac:dyDescent="0.25">
      <c r="B177" s="5" t="s">
        <v>254</v>
      </c>
      <c r="C177" s="5" t="s">
        <v>1882</v>
      </c>
      <c r="D177" s="6">
        <v>1039848</v>
      </c>
      <c r="E177" s="6">
        <v>114820464</v>
      </c>
      <c r="F177" s="1">
        <v>1.1611519005880346E-2</v>
      </c>
      <c r="H177" s="32">
        <f t="shared" si="2"/>
        <v>0</v>
      </c>
      <c r="I177" s="9" t="s">
        <v>939</v>
      </c>
      <c r="J177" s="9">
        <v>0</v>
      </c>
      <c r="K177" s="9">
        <v>0</v>
      </c>
      <c r="L177" s="9" t="s">
        <v>940</v>
      </c>
      <c r="M177" s="75">
        <v>0</v>
      </c>
      <c r="N177" s="78">
        <v>1150776</v>
      </c>
      <c r="O177" s="81">
        <v>1039848</v>
      </c>
    </row>
    <row r="178" spans="1:15" x14ac:dyDescent="0.25">
      <c r="B178" s="5" t="s">
        <v>255</v>
      </c>
      <c r="C178" s="5" t="s">
        <v>2261</v>
      </c>
      <c r="D178" s="6">
        <v>4485931</v>
      </c>
      <c r="E178" s="6">
        <v>1370656395</v>
      </c>
      <c r="F178" s="1">
        <v>3.2728589137031678E-3</v>
      </c>
      <c r="H178" s="32">
        <f t="shared" si="2"/>
        <v>3.3487605039044083E-3</v>
      </c>
      <c r="I178" s="9" t="s">
        <v>941</v>
      </c>
      <c r="J178" s="9">
        <v>2</v>
      </c>
      <c r="K178" s="9">
        <v>2</v>
      </c>
      <c r="L178" s="9" t="s">
        <v>938</v>
      </c>
      <c r="M178" s="75">
        <v>4590000</v>
      </c>
      <c r="N178" s="78">
        <v>14776987</v>
      </c>
      <c r="O178" s="81">
        <v>4485931</v>
      </c>
    </row>
    <row r="179" spans="1:15" x14ac:dyDescent="0.25">
      <c r="B179" s="5" t="s">
        <v>256</v>
      </c>
      <c r="C179" s="5" t="s">
        <v>1910</v>
      </c>
      <c r="D179" s="6">
        <v>10567927</v>
      </c>
      <c r="E179" s="6">
        <v>2089227331</v>
      </c>
      <c r="F179" s="1">
        <v>6.144742991589746E-3</v>
      </c>
      <c r="H179" s="32">
        <f t="shared" si="2"/>
        <v>0</v>
      </c>
      <c r="I179" s="9" t="s">
        <v>939</v>
      </c>
      <c r="J179" s="9">
        <v>0</v>
      </c>
      <c r="K179" s="9">
        <v>0</v>
      </c>
      <c r="L179" s="9" t="s">
        <v>940</v>
      </c>
      <c r="M179" s="75">
        <v>0</v>
      </c>
      <c r="N179" s="78">
        <v>21847715</v>
      </c>
      <c r="O179" s="81">
        <v>10567927</v>
      </c>
    </row>
    <row r="180" spans="1:15" x14ac:dyDescent="0.25">
      <c r="B180" s="5" t="s">
        <v>257</v>
      </c>
      <c r="C180" s="5" t="s">
        <v>1530</v>
      </c>
      <c r="D180" s="6">
        <v>136450</v>
      </c>
      <c r="E180" s="6">
        <v>7972380</v>
      </c>
      <c r="F180" s="1">
        <v>1.7115340713814445E-2</v>
      </c>
      <c r="H180" s="32">
        <f t="shared" si="2"/>
        <v>0</v>
      </c>
      <c r="I180" s="9" t="s">
        <v>939</v>
      </c>
      <c r="J180" s="9">
        <v>0</v>
      </c>
      <c r="K180" s="9">
        <v>0</v>
      </c>
      <c r="L180" s="9" t="s">
        <v>940</v>
      </c>
      <c r="M180" s="75">
        <v>0</v>
      </c>
      <c r="N180" s="78">
        <v>91147</v>
      </c>
      <c r="O180" s="81">
        <v>136450</v>
      </c>
    </row>
    <row r="181" spans="1:15" x14ac:dyDescent="0.25">
      <c r="B181" s="5" t="s">
        <v>258</v>
      </c>
      <c r="C181" s="5" t="s">
        <v>1742</v>
      </c>
      <c r="D181" s="6">
        <v>186976</v>
      </c>
      <c r="E181" s="6">
        <v>37309930</v>
      </c>
      <c r="F181" s="1">
        <v>5.2394094548019786E-3</v>
      </c>
      <c r="H181" s="32">
        <f t="shared" si="2"/>
        <v>0</v>
      </c>
      <c r="I181" s="9" t="s">
        <v>939</v>
      </c>
      <c r="J181" s="9">
        <v>0</v>
      </c>
      <c r="K181" s="9">
        <v>0</v>
      </c>
      <c r="L181" s="9" t="s">
        <v>940</v>
      </c>
      <c r="M181" s="75">
        <v>0</v>
      </c>
      <c r="N181" s="78">
        <v>379241</v>
      </c>
      <c r="O181" s="81">
        <v>186976</v>
      </c>
    </row>
    <row r="182" spans="1:15" x14ac:dyDescent="0.25">
      <c r="B182" s="5" t="s">
        <v>259</v>
      </c>
      <c r="C182" s="5" t="s">
        <v>1903</v>
      </c>
      <c r="D182" s="6">
        <v>91182</v>
      </c>
      <c r="E182" s="6">
        <v>9697501</v>
      </c>
      <c r="F182" s="1">
        <v>9.4026285741037816E-3</v>
      </c>
      <c r="H182" s="32">
        <f t="shared" si="2"/>
        <v>5.6025774062822987E-3</v>
      </c>
      <c r="I182" s="9" t="s">
        <v>939</v>
      </c>
      <c r="J182" s="9">
        <v>0</v>
      </c>
      <c r="K182" s="9">
        <v>0</v>
      </c>
      <c r="L182" s="9" t="s">
        <v>940</v>
      </c>
      <c r="M182" s="75">
        <v>54331</v>
      </c>
      <c r="N182" s="78">
        <v>108444</v>
      </c>
      <c r="O182" s="81">
        <v>91182</v>
      </c>
    </row>
    <row r="183" spans="1:15" x14ac:dyDescent="0.25">
      <c r="B183" s="5" t="s">
        <v>260</v>
      </c>
      <c r="C183" s="5" t="s">
        <v>2262</v>
      </c>
      <c r="D183" s="6">
        <v>109200</v>
      </c>
      <c r="E183" s="6">
        <v>23437600</v>
      </c>
      <c r="F183" s="1">
        <v>4.6591801208314843E-3</v>
      </c>
      <c r="H183" s="32">
        <f t="shared" si="2"/>
        <v>0</v>
      </c>
      <c r="I183" s="9" t="s">
        <v>939</v>
      </c>
      <c r="J183" s="9">
        <v>0</v>
      </c>
      <c r="K183" s="9">
        <v>0</v>
      </c>
      <c r="L183" s="9" t="s">
        <v>940</v>
      </c>
      <c r="M183" s="75">
        <v>0</v>
      </c>
      <c r="N183" s="78">
        <v>242663</v>
      </c>
      <c r="O183" s="81">
        <v>109200</v>
      </c>
    </row>
    <row r="184" spans="1:15" x14ac:dyDescent="0.25">
      <c r="A184" t="s">
        <v>1026</v>
      </c>
      <c r="B184" s="5" t="s">
        <v>261</v>
      </c>
      <c r="C184" s="5" t="s">
        <v>1027</v>
      </c>
      <c r="D184" s="6">
        <v>61600</v>
      </c>
      <c r="E184" s="6">
        <v>6518200</v>
      </c>
      <c r="F184" s="1">
        <v>9.450461783928079E-3</v>
      </c>
      <c r="H184" s="32">
        <f t="shared" si="2"/>
        <v>0</v>
      </c>
      <c r="I184" s="9" t="s">
        <v>939</v>
      </c>
      <c r="J184" s="9">
        <v>0</v>
      </c>
      <c r="K184" s="9">
        <v>0</v>
      </c>
      <c r="L184" s="9" t="s">
        <v>940</v>
      </c>
      <c r="M184" s="75">
        <v>0</v>
      </c>
      <c r="N184" s="78">
        <v>73275</v>
      </c>
      <c r="O184" s="81">
        <v>61600</v>
      </c>
    </row>
    <row r="185" spans="1:15" x14ac:dyDescent="0.25">
      <c r="B185" s="5" t="s">
        <v>262</v>
      </c>
      <c r="C185" s="5" t="s">
        <v>1621</v>
      </c>
      <c r="D185" s="6">
        <v>347324</v>
      </c>
      <c r="E185" s="6">
        <v>19974258</v>
      </c>
      <c r="F185" s="1">
        <v>1.7388580842402256E-2</v>
      </c>
      <c r="H185" s="32">
        <f t="shared" si="2"/>
        <v>5.1307537932072369E-3</v>
      </c>
      <c r="I185" s="9" t="s">
        <v>939</v>
      </c>
      <c r="J185" s="9">
        <v>0</v>
      </c>
      <c r="K185" s="9">
        <v>0</v>
      </c>
      <c r="L185" s="9" t="s">
        <v>940</v>
      </c>
      <c r="M185" s="75">
        <v>102483</v>
      </c>
      <c r="N185" s="78">
        <v>264415</v>
      </c>
      <c r="O185" s="81">
        <v>347324</v>
      </c>
    </row>
    <row r="186" spans="1:15" x14ac:dyDescent="0.25">
      <c r="B186" s="5" t="s">
        <v>263</v>
      </c>
      <c r="C186" s="5" t="s">
        <v>2263</v>
      </c>
      <c r="D186" s="6">
        <v>48912</v>
      </c>
      <c r="E186" s="6">
        <v>6258546</v>
      </c>
      <c r="F186" s="1">
        <v>7.8152337619632421E-3</v>
      </c>
      <c r="H186" s="32">
        <f t="shared" si="2"/>
        <v>0</v>
      </c>
      <c r="I186" s="9" t="s">
        <v>939</v>
      </c>
      <c r="J186" s="9">
        <v>0</v>
      </c>
      <c r="K186" s="9">
        <v>0</v>
      </c>
      <c r="L186" s="9" t="s">
        <v>940</v>
      </c>
      <c r="M186" s="75">
        <v>0</v>
      </c>
      <c r="N186" s="78">
        <v>74441</v>
      </c>
      <c r="O186" s="81">
        <v>48912</v>
      </c>
    </row>
    <row r="187" spans="1:15" x14ac:dyDescent="0.25">
      <c r="B187" s="5" t="s">
        <v>264</v>
      </c>
      <c r="C187" s="5" t="s">
        <v>2011</v>
      </c>
      <c r="D187" s="6">
        <v>56688</v>
      </c>
      <c r="E187" s="6">
        <v>2457800</v>
      </c>
      <c r="F187" s="1">
        <v>2.3064529253804214E-2</v>
      </c>
      <c r="H187" s="32">
        <f t="shared" si="2"/>
        <v>0</v>
      </c>
      <c r="I187" s="9" t="s">
        <v>939</v>
      </c>
      <c r="J187" s="9">
        <v>0</v>
      </c>
      <c r="K187" s="9">
        <v>0</v>
      </c>
      <c r="L187" s="9" t="s">
        <v>940</v>
      </c>
      <c r="M187" s="75">
        <v>0</v>
      </c>
      <c r="N187" s="78">
        <v>26174</v>
      </c>
      <c r="O187" s="81">
        <v>56688</v>
      </c>
    </row>
    <row r="188" spans="1:15" x14ac:dyDescent="0.25">
      <c r="B188" s="5" t="s">
        <v>265</v>
      </c>
      <c r="C188" s="5" t="s">
        <v>1896</v>
      </c>
      <c r="D188" s="6">
        <v>89507</v>
      </c>
      <c r="E188" s="6">
        <v>23676290</v>
      </c>
      <c r="F188" s="1">
        <v>3.780448710503208E-3</v>
      </c>
      <c r="H188" s="32">
        <f t="shared" si="2"/>
        <v>0</v>
      </c>
      <c r="I188" s="9" t="s">
        <v>939</v>
      </c>
      <c r="J188" s="9">
        <v>0</v>
      </c>
      <c r="K188" s="9">
        <v>0</v>
      </c>
      <c r="L188" s="9" t="s">
        <v>940</v>
      </c>
      <c r="M188" s="75">
        <v>0</v>
      </c>
      <c r="N188" s="78">
        <v>255466</v>
      </c>
      <c r="O188" s="81">
        <v>89507</v>
      </c>
    </row>
    <row r="189" spans="1:15" x14ac:dyDescent="0.25">
      <c r="B189" s="5" t="s">
        <v>266</v>
      </c>
      <c r="C189" s="5" t="s">
        <v>1817</v>
      </c>
      <c r="D189" s="6">
        <v>869323</v>
      </c>
      <c r="E189" s="6">
        <v>93775523</v>
      </c>
      <c r="F189" s="1">
        <v>9.2702548830359503E-3</v>
      </c>
      <c r="H189" s="32">
        <f t="shared" si="2"/>
        <v>0</v>
      </c>
      <c r="I189" s="9" t="s">
        <v>939</v>
      </c>
      <c r="J189" s="9">
        <v>0</v>
      </c>
      <c r="K189" s="9">
        <v>0</v>
      </c>
      <c r="L189" s="9" t="s">
        <v>940</v>
      </c>
      <c r="M189" s="75">
        <v>0</v>
      </c>
      <c r="N189" s="78">
        <v>1104087</v>
      </c>
      <c r="O189" s="81">
        <v>869323</v>
      </c>
    </row>
    <row r="190" spans="1:15" x14ac:dyDescent="0.25">
      <c r="A190" t="s">
        <v>1028</v>
      </c>
      <c r="B190" s="5" t="s">
        <v>267</v>
      </c>
      <c r="C190" s="5" t="s">
        <v>1029</v>
      </c>
      <c r="D190" s="6">
        <v>1126993</v>
      </c>
      <c r="E190" s="6">
        <v>55957301</v>
      </c>
      <c r="F190" s="1">
        <v>2.1701082402097987E-2</v>
      </c>
      <c r="H190" s="32">
        <f t="shared" si="2"/>
        <v>8.9787711526687103E-2</v>
      </c>
      <c r="I190" s="9" t="s">
        <v>946</v>
      </c>
      <c r="J190" s="9">
        <v>3</v>
      </c>
      <c r="K190" s="9">
        <v>6</v>
      </c>
      <c r="L190" s="9" t="s">
        <v>938</v>
      </c>
      <c r="M190" s="75">
        <v>5024278</v>
      </c>
      <c r="N190" s="78">
        <v>696011</v>
      </c>
      <c r="O190" s="81">
        <v>1126993</v>
      </c>
    </row>
    <row r="191" spans="1:15" x14ac:dyDescent="0.25">
      <c r="B191" s="5" t="s">
        <v>268</v>
      </c>
      <c r="C191" s="5" t="s">
        <v>1706</v>
      </c>
      <c r="D191" s="6">
        <v>5356663</v>
      </c>
      <c r="E191" s="6">
        <v>1032726947</v>
      </c>
      <c r="F191" s="1">
        <v>5.6121707841908378E-3</v>
      </c>
      <c r="H191" s="32">
        <f t="shared" si="2"/>
        <v>6.729755643724866E-4</v>
      </c>
      <c r="I191" s="9" t="s">
        <v>943</v>
      </c>
      <c r="J191" s="9">
        <v>2</v>
      </c>
      <c r="K191" s="9">
        <v>3</v>
      </c>
      <c r="L191" s="9" t="s">
        <v>938</v>
      </c>
      <c r="M191" s="75">
        <v>695000</v>
      </c>
      <c r="N191" s="78">
        <v>10426016</v>
      </c>
      <c r="O191" s="81">
        <v>5356663</v>
      </c>
    </row>
    <row r="192" spans="1:15" x14ac:dyDescent="0.25">
      <c r="B192" s="5" t="s">
        <v>269</v>
      </c>
      <c r="C192" s="5" t="s">
        <v>2264</v>
      </c>
      <c r="D192" s="6">
        <v>2784398</v>
      </c>
      <c r="E192" s="6">
        <v>1439381165</v>
      </c>
      <c r="F192" s="1">
        <v>1.9556515455723643E-3</v>
      </c>
      <c r="H192" s="32">
        <f t="shared" si="2"/>
        <v>0</v>
      </c>
      <c r="I192" s="9" t="s">
        <v>944</v>
      </c>
      <c r="J192" s="9">
        <v>1</v>
      </c>
      <c r="K192" s="9">
        <v>1</v>
      </c>
      <c r="L192" s="9" t="s">
        <v>938</v>
      </c>
      <c r="M192" s="75">
        <v>0</v>
      </c>
      <c r="N192" s="78">
        <v>60299</v>
      </c>
      <c r="O192" s="81">
        <v>2784398</v>
      </c>
    </row>
    <row r="193" spans="1:15" x14ac:dyDescent="0.25">
      <c r="B193" s="5" t="s">
        <v>270</v>
      </c>
      <c r="C193" s="5" t="s">
        <v>1615</v>
      </c>
      <c r="D193" s="6">
        <v>77640</v>
      </c>
      <c r="E193" s="6">
        <v>16697000</v>
      </c>
      <c r="F193" s="1">
        <v>4.6499371144516979E-3</v>
      </c>
      <c r="H193" s="32">
        <f t="shared" si="2"/>
        <v>8.2350122776546686E-2</v>
      </c>
      <c r="I193" s="9" t="s">
        <v>939</v>
      </c>
      <c r="J193" s="9">
        <v>0</v>
      </c>
      <c r="K193" s="9">
        <v>0</v>
      </c>
      <c r="L193" s="9" t="s">
        <v>940</v>
      </c>
      <c r="M193" s="75">
        <v>1375000</v>
      </c>
      <c r="N193" s="78">
        <v>16348053</v>
      </c>
      <c r="O193" s="81">
        <v>77640</v>
      </c>
    </row>
    <row r="194" spans="1:15" x14ac:dyDescent="0.25">
      <c r="B194" s="5" t="s">
        <v>271</v>
      </c>
      <c r="C194" s="5" t="s">
        <v>1545</v>
      </c>
      <c r="D194" s="6">
        <v>947226</v>
      </c>
      <c r="E194" s="6">
        <v>62382457</v>
      </c>
      <c r="F194" s="1">
        <v>1.5184172691370589E-2</v>
      </c>
      <c r="H194" s="32">
        <f t="shared" si="2"/>
        <v>0</v>
      </c>
      <c r="I194" s="9" t="s">
        <v>939</v>
      </c>
      <c r="J194" s="9">
        <v>0</v>
      </c>
      <c r="K194" s="9">
        <v>0</v>
      </c>
      <c r="L194" s="9" t="s">
        <v>940</v>
      </c>
      <c r="M194" s="75">
        <v>0</v>
      </c>
      <c r="N194" s="78">
        <v>166014</v>
      </c>
      <c r="O194" s="81">
        <v>947226</v>
      </c>
    </row>
    <row r="195" spans="1:15" x14ac:dyDescent="0.25">
      <c r="B195" s="5" t="s">
        <v>272</v>
      </c>
      <c r="C195" s="5" t="s">
        <v>1933</v>
      </c>
      <c r="D195" s="6">
        <v>548016</v>
      </c>
      <c r="E195" s="6">
        <v>58256831</v>
      </c>
      <c r="F195" s="1">
        <v>9.766974794766986E-3</v>
      </c>
      <c r="H195" s="32">
        <f t="shared" ref="H195:H259" si="3">M195/E195</f>
        <v>5.8276427703388124E-2</v>
      </c>
      <c r="I195" s="9" t="s">
        <v>939</v>
      </c>
      <c r="J195" s="9">
        <v>0</v>
      </c>
      <c r="K195" s="9">
        <v>0</v>
      </c>
      <c r="L195" s="9" t="s">
        <v>940</v>
      </c>
      <c r="M195" s="75">
        <v>3395000</v>
      </c>
      <c r="N195" s="78">
        <v>1008782</v>
      </c>
      <c r="O195" s="81">
        <v>548016</v>
      </c>
    </row>
    <row r="196" spans="1:15" x14ac:dyDescent="0.25">
      <c r="B196" s="5" t="s">
        <v>273</v>
      </c>
      <c r="C196" s="5" t="s">
        <v>2265</v>
      </c>
      <c r="D196" s="6">
        <v>19446</v>
      </c>
      <c r="E196" s="6">
        <v>5568933</v>
      </c>
      <c r="F196" s="1">
        <v>3.4918717822606232E-3</v>
      </c>
      <c r="H196" s="32">
        <f t="shared" si="3"/>
        <v>5.2074607469689439E-3</v>
      </c>
      <c r="I196" s="9" t="s">
        <v>939</v>
      </c>
      <c r="J196" s="9">
        <v>0</v>
      </c>
      <c r="K196" s="9">
        <v>0</v>
      </c>
      <c r="L196" s="9" t="s">
        <v>940</v>
      </c>
      <c r="M196" s="75">
        <v>29000</v>
      </c>
      <c r="N196" s="78">
        <v>638806</v>
      </c>
      <c r="O196" s="81">
        <v>19446</v>
      </c>
    </row>
    <row r="197" spans="1:15" x14ac:dyDescent="0.25">
      <c r="B197" s="5" t="s">
        <v>274</v>
      </c>
      <c r="C197" s="5" t="s">
        <v>2199</v>
      </c>
      <c r="D197" s="6">
        <v>3727613</v>
      </c>
      <c r="E197" s="6">
        <v>686453400</v>
      </c>
      <c r="F197" s="1">
        <v>5.430249161851336E-3</v>
      </c>
      <c r="H197" s="32">
        <f t="shared" si="3"/>
        <v>1.5827731350736993E-2</v>
      </c>
      <c r="I197" s="9" t="s">
        <v>943</v>
      </c>
      <c r="J197" s="9">
        <v>2</v>
      </c>
      <c r="K197" s="9">
        <v>3</v>
      </c>
      <c r="L197" s="9" t="s">
        <v>938</v>
      </c>
      <c r="M197" s="75">
        <v>10865000</v>
      </c>
      <c r="N197" s="78">
        <v>7550426</v>
      </c>
      <c r="O197" s="81">
        <v>3727613</v>
      </c>
    </row>
    <row r="198" spans="1:15" x14ac:dyDescent="0.25">
      <c r="B198" s="5" t="s">
        <v>275</v>
      </c>
      <c r="C198" s="5" t="s">
        <v>1699</v>
      </c>
      <c r="D198" s="6">
        <v>181229</v>
      </c>
      <c r="E198" s="6">
        <v>12428900</v>
      </c>
      <c r="F198" s="1">
        <v>1.4581258196622388E-2</v>
      </c>
      <c r="H198" s="32">
        <f t="shared" si="3"/>
        <v>0</v>
      </c>
      <c r="I198" s="9" t="s">
        <v>939</v>
      </c>
      <c r="J198" s="9">
        <v>0</v>
      </c>
      <c r="K198" s="9">
        <v>0</v>
      </c>
      <c r="L198" s="9" t="s">
        <v>940</v>
      </c>
      <c r="M198" s="75">
        <v>0</v>
      </c>
      <c r="N198" s="78">
        <v>182732</v>
      </c>
      <c r="O198" s="81">
        <v>181229</v>
      </c>
    </row>
    <row r="199" spans="1:15" x14ac:dyDescent="0.25">
      <c r="A199" t="s">
        <v>1030</v>
      </c>
      <c r="B199" s="5" t="s">
        <v>276</v>
      </c>
      <c r="C199" s="5" t="s">
        <v>1031</v>
      </c>
      <c r="D199" s="6">
        <v>51695</v>
      </c>
      <c r="E199" s="6">
        <v>6133746</v>
      </c>
      <c r="F199" s="1">
        <v>8.4279655531872364E-3</v>
      </c>
      <c r="H199" s="32">
        <f t="shared" si="3"/>
        <v>0</v>
      </c>
      <c r="I199" s="9" t="s">
        <v>939</v>
      </c>
      <c r="J199" s="9">
        <v>0</v>
      </c>
      <c r="K199" s="9">
        <v>0</v>
      </c>
      <c r="L199" s="9" t="s">
        <v>940</v>
      </c>
      <c r="M199" s="75">
        <v>0</v>
      </c>
      <c r="N199" s="78">
        <v>83766</v>
      </c>
      <c r="O199" s="81">
        <v>51695</v>
      </c>
    </row>
    <row r="200" spans="1:15" x14ac:dyDescent="0.25">
      <c r="B200" s="5" t="s">
        <v>277</v>
      </c>
      <c r="C200" s="5" t="s">
        <v>2266</v>
      </c>
      <c r="D200" s="6">
        <v>815756</v>
      </c>
      <c r="E200" s="6">
        <v>380779800</v>
      </c>
      <c r="F200" s="1">
        <v>2.1774421857461979E-3</v>
      </c>
      <c r="H200" s="32">
        <f t="shared" si="3"/>
        <v>2.5999278323062306E-3</v>
      </c>
      <c r="I200" s="9" t="s">
        <v>939</v>
      </c>
      <c r="J200" s="9">
        <v>0</v>
      </c>
      <c r="K200" s="9">
        <v>0</v>
      </c>
      <c r="L200" s="9" t="s">
        <v>940</v>
      </c>
      <c r="M200" s="75">
        <v>990000</v>
      </c>
      <c r="N200" s="78">
        <v>4247784</v>
      </c>
      <c r="O200" s="81">
        <v>815756</v>
      </c>
    </row>
    <row r="201" spans="1:15" x14ac:dyDescent="0.25">
      <c r="B201" s="5" t="s">
        <v>278</v>
      </c>
      <c r="C201" s="5" t="s">
        <v>2267</v>
      </c>
      <c r="D201" s="6">
        <v>12966</v>
      </c>
      <c r="E201" s="6">
        <v>3903800</v>
      </c>
      <c r="F201" s="1">
        <v>3.3213791690148062E-3</v>
      </c>
      <c r="H201" s="32">
        <f t="shared" si="3"/>
        <v>0</v>
      </c>
      <c r="I201" s="9" t="s">
        <v>939</v>
      </c>
      <c r="J201" s="9">
        <v>0</v>
      </c>
      <c r="K201" s="9">
        <v>0</v>
      </c>
      <c r="L201" s="9" t="s">
        <v>940</v>
      </c>
      <c r="M201" s="75">
        <v>0</v>
      </c>
      <c r="N201" s="78">
        <v>43030</v>
      </c>
      <c r="O201" s="81">
        <v>12966</v>
      </c>
    </row>
    <row r="202" spans="1:15" x14ac:dyDescent="0.25">
      <c r="B202" s="5" t="s">
        <v>279</v>
      </c>
      <c r="C202" s="5" t="s">
        <v>1694</v>
      </c>
      <c r="D202" s="6">
        <v>140214</v>
      </c>
      <c r="E202" s="6">
        <v>20257700</v>
      </c>
      <c r="F202" s="1">
        <v>6.9215162629518651E-3</v>
      </c>
      <c r="H202" s="32">
        <f t="shared" si="3"/>
        <v>2.3595965978368719E-2</v>
      </c>
      <c r="I202" s="9" t="s">
        <v>939</v>
      </c>
      <c r="J202" s="9">
        <v>0</v>
      </c>
      <c r="K202" s="9">
        <v>0</v>
      </c>
      <c r="L202" s="9" t="s">
        <v>940</v>
      </c>
      <c r="M202" s="75">
        <v>478000</v>
      </c>
      <c r="N202" s="78">
        <v>214602</v>
      </c>
      <c r="O202" s="81">
        <v>140214</v>
      </c>
    </row>
    <row r="203" spans="1:15" x14ac:dyDescent="0.25">
      <c r="B203" s="5" t="s">
        <v>280</v>
      </c>
      <c r="C203" s="5" t="s">
        <v>2268</v>
      </c>
      <c r="D203" s="6">
        <v>57997</v>
      </c>
      <c r="E203" s="6">
        <v>8554800</v>
      </c>
      <c r="F203" s="1">
        <v>6.7794688362089123E-3</v>
      </c>
      <c r="H203" s="32">
        <f t="shared" si="3"/>
        <v>0</v>
      </c>
      <c r="I203" s="9" t="s">
        <v>939</v>
      </c>
      <c r="J203" s="9">
        <v>0</v>
      </c>
      <c r="K203" s="9">
        <v>0</v>
      </c>
      <c r="L203" s="9" t="s">
        <v>940</v>
      </c>
      <c r="M203" s="75">
        <v>0</v>
      </c>
      <c r="N203" s="78">
        <v>97323</v>
      </c>
      <c r="O203" s="81">
        <v>57997</v>
      </c>
    </row>
    <row r="204" spans="1:15" x14ac:dyDescent="0.25">
      <c r="A204" t="s">
        <v>1032</v>
      </c>
      <c r="B204" s="5" t="s">
        <v>281</v>
      </c>
      <c r="C204" s="5" t="s">
        <v>1033</v>
      </c>
      <c r="D204" s="6">
        <v>6092624</v>
      </c>
      <c r="E204" s="6">
        <v>1282135500</v>
      </c>
      <c r="F204" s="1">
        <v>4.7519345654183981E-3</v>
      </c>
      <c r="H204" s="32">
        <f t="shared" si="3"/>
        <v>0</v>
      </c>
      <c r="I204" s="9" t="s">
        <v>943</v>
      </c>
      <c r="J204" s="9">
        <v>2</v>
      </c>
      <c r="K204" s="9">
        <v>3</v>
      </c>
      <c r="L204" s="9" t="s">
        <v>938</v>
      </c>
      <c r="M204" s="75">
        <v>0</v>
      </c>
      <c r="N204" s="78">
        <v>14965118</v>
      </c>
      <c r="O204" s="81">
        <v>6092624</v>
      </c>
    </row>
    <row r="205" spans="1:15" x14ac:dyDescent="0.25">
      <c r="B205" s="5" t="s">
        <v>282</v>
      </c>
      <c r="C205" s="5" t="s">
        <v>1551</v>
      </c>
      <c r="D205" s="6">
        <v>169492</v>
      </c>
      <c r="E205" s="6">
        <v>21760700</v>
      </c>
      <c r="F205" s="1">
        <v>7.7889038496004263E-3</v>
      </c>
      <c r="H205" s="32">
        <f t="shared" si="3"/>
        <v>0</v>
      </c>
      <c r="I205" s="9" t="s">
        <v>939</v>
      </c>
      <c r="J205" s="9">
        <v>0</v>
      </c>
      <c r="K205" s="9">
        <v>0</v>
      </c>
      <c r="L205" s="9" t="s">
        <v>940</v>
      </c>
      <c r="M205" s="75">
        <v>0</v>
      </c>
      <c r="N205" s="78">
        <v>258574</v>
      </c>
      <c r="O205" s="81">
        <v>169492</v>
      </c>
    </row>
    <row r="206" spans="1:15" x14ac:dyDescent="0.25">
      <c r="B206" s="5" t="s">
        <v>283</v>
      </c>
      <c r="C206" s="5" t="s">
        <v>2034</v>
      </c>
      <c r="D206" s="6">
        <v>2174578</v>
      </c>
      <c r="E206" s="6">
        <v>360462800</v>
      </c>
      <c r="F206" s="1">
        <v>6.0327390232778524E-3</v>
      </c>
      <c r="H206" s="32">
        <f t="shared" si="3"/>
        <v>0</v>
      </c>
      <c r="I206" s="9" t="s">
        <v>942</v>
      </c>
      <c r="J206" s="9">
        <v>2</v>
      </c>
      <c r="K206" s="9">
        <v>4</v>
      </c>
      <c r="L206" s="9" t="s">
        <v>938</v>
      </c>
      <c r="M206" s="75">
        <v>0</v>
      </c>
      <c r="N206" s="78">
        <v>4319116</v>
      </c>
      <c r="O206" s="81">
        <v>2174578</v>
      </c>
    </row>
    <row r="207" spans="1:15" x14ac:dyDescent="0.25">
      <c r="A207" t="s">
        <v>1034</v>
      </c>
      <c r="B207" s="5" t="s">
        <v>284</v>
      </c>
      <c r="C207" s="5" t="s">
        <v>1035</v>
      </c>
      <c r="D207" s="6">
        <v>2047602</v>
      </c>
      <c r="E207" s="6">
        <v>182116800</v>
      </c>
      <c r="F207" s="1">
        <v>1.1243344930286498E-2</v>
      </c>
      <c r="H207" s="32">
        <f t="shared" si="3"/>
        <v>0</v>
      </c>
      <c r="I207" s="9" t="s">
        <v>939</v>
      </c>
      <c r="J207" s="9">
        <v>0</v>
      </c>
      <c r="K207" s="9">
        <v>0</v>
      </c>
      <c r="L207" s="9" t="s">
        <v>940</v>
      </c>
      <c r="M207" s="75">
        <v>0</v>
      </c>
      <c r="N207" s="78">
        <v>2182036</v>
      </c>
      <c r="O207" s="81">
        <v>2047602</v>
      </c>
    </row>
    <row r="208" spans="1:15" x14ac:dyDescent="0.25">
      <c r="B208" s="5" t="s">
        <v>285</v>
      </c>
      <c r="C208" s="5" t="s">
        <v>2269</v>
      </c>
      <c r="D208" s="6">
        <v>15800</v>
      </c>
      <c r="E208" s="6">
        <v>1394900</v>
      </c>
      <c r="F208" s="1">
        <v>1.1326976844218224E-2</v>
      </c>
      <c r="H208" s="32">
        <f t="shared" si="3"/>
        <v>0</v>
      </c>
      <c r="I208" s="9" t="s">
        <v>939</v>
      </c>
      <c r="J208" s="9">
        <v>0</v>
      </c>
      <c r="K208" s="9">
        <v>0</v>
      </c>
      <c r="L208" s="9" t="s">
        <v>940</v>
      </c>
      <c r="M208" s="75">
        <v>0</v>
      </c>
      <c r="N208" s="78">
        <v>23439</v>
      </c>
      <c r="O208" s="81">
        <v>15800</v>
      </c>
    </row>
    <row r="209" spans="1:15" x14ac:dyDescent="0.25">
      <c r="B209" s="5" t="s">
        <v>286</v>
      </c>
      <c r="C209" s="5" t="s">
        <v>1499</v>
      </c>
      <c r="D209" s="6">
        <v>47839</v>
      </c>
      <c r="E209" s="6">
        <v>12640859</v>
      </c>
      <c r="F209" s="1">
        <v>3.7844738241285657E-3</v>
      </c>
      <c r="H209" s="32">
        <f t="shared" si="3"/>
        <v>0</v>
      </c>
      <c r="I209" s="9" t="s">
        <v>939</v>
      </c>
      <c r="J209" s="9">
        <v>0</v>
      </c>
      <c r="K209" s="9">
        <v>0</v>
      </c>
      <c r="L209" s="9" t="s">
        <v>940</v>
      </c>
      <c r="M209" s="75">
        <v>0</v>
      </c>
      <c r="N209" s="78">
        <v>125920</v>
      </c>
      <c r="O209" s="81">
        <v>47839</v>
      </c>
    </row>
    <row r="210" spans="1:15" x14ac:dyDescent="0.25">
      <c r="B210" s="5" t="s">
        <v>287</v>
      </c>
      <c r="C210" s="5" t="s">
        <v>2270</v>
      </c>
      <c r="D210" s="6">
        <v>14000</v>
      </c>
      <c r="E210" s="6">
        <v>1088026</v>
      </c>
      <c r="F210" s="1">
        <v>1.2867339567252988E-2</v>
      </c>
      <c r="H210" s="32">
        <f t="shared" si="3"/>
        <v>0</v>
      </c>
      <c r="I210" s="9" t="s">
        <v>939</v>
      </c>
      <c r="J210" s="9">
        <v>0</v>
      </c>
      <c r="K210" s="9">
        <v>0</v>
      </c>
      <c r="L210" s="9" t="s">
        <v>940</v>
      </c>
      <c r="M210" s="75">
        <v>0</v>
      </c>
      <c r="N210" s="78">
        <v>14446</v>
      </c>
      <c r="O210" s="81">
        <v>14000</v>
      </c>
    </row>
    <row r="211" spans="1:15" x14ac:dyDescent="0.25">
      <c r="B211" s="5" t="s">
        <v>288</v>
      </c>
      <c r="C211" s="5" t="s">
        <v>1501</v>
      </c>
      <c r="D211" s="6">
        <v>375352</v>
      </c>
      <c r="E211" s="6">
        <v>57491810</v>
      </c>
      <c r="F211" s="1">
        <v>6.5287907964630089E-3</v>
      </c>
      <c r="H211" s="32">
        <f t="shared" si="3"/>
        <v>0</v>
      </c>
      <c r="I211" s="9" t="s">
        <v>939</v>
      </c>
      <c r="J211" s="9">
        <v>0</v>
      </c>
      <c r="K211" s="9">
        <v>0</v>
      </c>
      <c r="L211" s="9" t="s">
        <v>940</v>
      </c>
      <c r="M211" s="75">
        <v>0</v>
      </c>
      <c r="N211" s="78">
        <v>625476</v>
      </c>
      <c r="O211" s="81">
        <v>375352</v>
      </c>
    </row>
    <row r="212" spans="1:15" x14ac:dyDescent="0.25">
      <c r="B212" s="5" t="s">
        <v>289</v>
      </c>
      <c r="C212" s="5" t="s">
        <v>1959</v>
      </c>
      <c r="D212" s="6">
        <v>31000</v>
      </c>
      <c r="E212" s="6">
        <v>3639903</v>
      </c>
      <c r="F212" s="1">
        <v>8.5167104727790818E-3</v>
      </c>
      <c r="H212" s="32">
        <f t="shared" si="3"/>
        <v>0</v>
      </c>
      <c r="I212" s="9" t="s">
        <v>939</v>
      </c>
      <c r="J212" s="9">
        <v>0</v>
      </c>
      <c r="K212" s="9">
        <v>0</v>
      </c>
      <c r="L212" s="9" t="s">
        <v>940</v>
      </c>
      <c r="M212" s="75">
        <v>0</v>
      </c>
      <c r="N212" s="78">
        <v>55160</v>
      </c>
      <c r="O212" s="81">
        <v>31000</v>
      </c>
    </row>
    <row r="213" spans="1:15" x14ac:dyDescent="0.25">
      <c r="B213" s="5" t="s">
        <v>290</v>
      </c>
      <c r="C213" s="5" t="s">
        <v>1802</v>
      </c>
      <c r="D213" s="6">
        <v>34844400</v>
      </c>
      <c r="E213" s="6">
        <v>7051887426</v>
      </c>
      <c r="F213" s="1">
        <v>5.3098280982116176E-3</v>
      </c>
      <c r="H213" s="32">
        <f t="shared" si="3"/>
        <v>1.2912145997153075E-2</v>
      </c>
      <c r="I213" s="9" t="s">
        <v>943</v>
      </c>
      <c r="J213" s="9">
        <v>2</v>
      </c>
      <c r="K213" s="9">
        <v>3</v>
      </c>
      <c r="L213" s="9" t="s">
        <v>938</v>
      </c>
      <c r="M213" s="75">
        <v>91055000</v>
      </c>
      <c r="N213" s="78">
        <v>83567551</v>
      </c>
      <c r="O213" s="81">
        <v>34844400</v>
      </c>
    </row>
    <row r="214" spans="1:15" x14ac:dyDescent="0.25">
      <c r="B214" s="5" t="s">
        <v>291</v>
      </c>
      <c r="C214" s="5" t="s">
        <v>1562</v>
      </c>
      <c r="D214" s="6">
        <v>67995</v>
      </c>
      <c r="E214" s="6">
        <v>4220920</v>
      </c>
      <c r="F214" s="1">
        <v>1.6109047316698728E-2</v>
      </c>
      <c r="H214" s="32">
        <f t="shared" si="3"/>
        <v>0</v>
      </c>
      <c r="I214" s="9" t="s">
        <v>939</v>
      </c>
      <c r="J214" s="9">
        <v>0</v>
      </c>
      <c r="K214" s="9">
        <v>0</v>
      </c>
      <c r="L214" s="9" t="s">
        <v>940</v>
      </c>
      <c r="M214" s="75">
        <v>0</v>
      </c>
      <c r="N214" s="78">
        <v>49859</v>
      </c>
      <c r="O214" s="81">
        <v>67995</v>
      </c>
    </row>
    <row r="215" spans="1:15" x14ac:dyDescent="0.25">
      <c r="B215" s="5" t="s">
        <v>292</v>
      </c>
      <c r="C215" s="5" t="s">
        <v>1697</v>
      </c>
      <c r="D215" s="6">
        <v>1230617</v>
      </c>
      <c r="E215" s="6">
        <v>181305900</v>
      </c>
      <c r="F215" s="1">
        <v>6.7875176704122698E-3</v>
      </c>
      <c r="H215" s="32">
        <f t="shared" si="3"/>
        <v>1.9800789715061672E-2</v>
      </c>
      <c r="I215" s="9" t="s">
        <v>942</v>
      </c>
      <c r="J215" s="9">
        <v>2</v>
      </c>
      <c r="K215" s="9">
        <v>4</v>
      </c>
      <c r="L215" s="9" t="s">
        <v>938</v>
      </c>
      <c r="M215" s="75">
        <v>3590000</v>
      </c>
      <c r="N215" s="78">
        <v>2242909</v>
      </c>
      <c r="O215" s="81">
        <v>1230617</v>
      </c>
    </row>
    <row r="216" spans="1:15" x14ac:dyDescent="0.25">
      <c r="B216" s="5" t="s">
        <v>293</v>
      </c>
      <c r="C216" s="5" t="s">
        <v>1963</v>
      </c>
      <c r="D216" s="6">
        <v>35926</v>
      </c>
      <c r="E216" s="6">
        <v>2426339</v>
      </c>
      <c r="F216" s="1">
        <v>1.4806669636847942E-2</v>
      </c>
      <c r="H216" s="32">
        <f t="shared" si="3"/>
        <v>0</v>
      </c>
      <c r="I216" s="9" t="s">
        <v>939</v>
      </c>
      <c r="J216" s="9">
        <v>0</v>
      </c>
      <c r="K216" s="9">
        <v>0</v>
      </c>
      <c r="L216" s="9" t="s">
        <v>940</v>
      </c>
      <c r="M216" s="75">
        <v>0</v>
      </c>
      <c r="N216" s="78">
        <v>23956</v>
      </c>
      <c r="O216" s="81">
        <v>35926</v>
      </c>
    </row>
    <row r="217" spans="1:15" x14ac:dyDescent="0.25">
      <c r="B217" s="5" t="s">
        <v>294</v>
      </c>
      <c r="C217" s="5" t="s">
        <v>1568</v>
      </c>
      <c r="D217" s="6">
        <v>132870</v>
      </c>
      <c r="E217" s="6">
        <v>2508500</v>
      </c>
      <c r="F217" s="1">
        <v>5.29679091090293E-2</v>
      </c>
      <c r="H217" s="32">
        <f t="shared" si="3"/>
        <v>0</v>
      </c>
      <c r="I217" s="9" t="s">
        <v>939</v>
      </c>
      <c r="J217" s="9">
        <v>0</v>
      </c>
      <c r="K217" s="9">
        <v>0</v>
      </c>
      <c r="L217" s="9" t="s">
        <v>940</v>
      </c>
      <c r="M217" s="75">
        <v>0</v>
      </c>
      <c r="N217" s="78">
        <v>30684</v>
      </c>
      <c r="O217" s="81">
        <v>132870</v>
      </c>
    </row>
    <row r="218" spans="1:15" x14ac:dyDescent="0.25">
      <c r="B218" s="5" t="s">
        <v>295</v>
      </c>
      <c r="C218" s="5" t="s">
        <v>1452</v>
      </c>
      <c r="D218" s="6">
        <v>38323712</v>
      </c>
      <c r="E218" s="6">
        <v>9989675171</v>
      </c>
      <c r="F218" s="1">
        <v>4.1722610882279311E-3</v>
      </c>
      <c r="H218" s="32">
        <f t="shared" si="3"/>
        <v>3.1122133070206515E-3</v>
      </c>
      <c r="I218" s="9" t="s">
        <v>944</v>
      </c>
      <c r="J218" s="9">
        <v>1</v>
      </c>
      <c r="K218" s="9">
        <v>1</v>
      </c>
      <c r="L218" s="9" t="s">
        <v>938</v>
      </c>
      <c r="M218" s="75">
        <v>31090000</v>
      </c>
      <c r="N218" s="78">
        <v>105468429</v>
      </c>
      <c r="O218" s="81">
        <v>38323712</v>
      </c>
    </row>
    <row r="219" spans="1:15" x14ac:dyDescent="0.25">
      <c r="B219" s="5" t="s">
        <v>296</v>
      </c>
      <c r="C219" s="5" t="s">
        <v>1599</v>
      </c>
      <c r="D219" s="6">
        <v>224722</v>
      </c>
      <c r="E219" s="6">
        <v>22322066</v>
      </c>
      <c r="F219" s="1">
        <v>1.0067258111323566E-2</v>
      </c>
      <c r="H219" s="32">
        <f t="shared" si="3"/>
        <v>0</v>
      </c>
      <c r="I219" s="9" t="s">
        <v>937</v>
      </c>
      <c r="J219" s="9">
        <v>3</v>
      </c>
      <c r="K219" s="9">
        <v>5</v>
      </c>
      <c r="L219" s="9" t="s">
        <v>938</v>
      </c>
      <c r="M219" s="75">
        <v>0</v>
      </c>
      <c r="N219" s="78">
        <v>235679</v>
      </c>
      <c r="O219" s="81">
        <v>224722</v>
      </c>
    </row>
    <row r="220" spans="1:15" x14ac:dyDescent="0.25">
      <c r="B220" s="5" t="s">
        <v>297</v>
      </c>
      <c r="C220" s="5" t="s">
        <v>1586</v>
      </c>
      <c r="D220" s="6">
        <v>811737</v>
      </c>
      <c r="E220" s="6">
        <v>216817800</v>
      </c>
      <c r="F220" s="1">
        <v>3.7438669703317717E-3</v>
      </c>
      <c r="H220" s="32">
        <f t="shared" si="3"/>
        <v>8.3618595890189822E-3</v>
      </c>
      <c r="I220" s="9" t="s">
        <v>942</v>
      </c>
      <c r="J220" s="9">
        <v>2</v>
      </c>
      <c r="K220" s="9">
        <v>4</v>
      </c>
      <c r="L220" s="9" t="s">
        <v>938</v>
      </c>
      <c r="M220" s="75">
        <v>1813000</v>
      </c>
      <c r="N220" s="78">
        <v>2208431</v>
      </c>
      <c r="O220" s="81">
        <v>811737</v>
      </c>
    </row>
    <row r="221" spans="1:15" s="29" customFormat="1" x14ac:dyDescent="0.25">
      <c r="A221" s="29" t="s">
        <v>1036</v>
      </c>
      <c r="B221" s="49" t="s">
        <v>1436</v>
      </c>
      <c r="C221" s="5" t="s">
        <v>1037</v>
      </c>
      <c r="D221" s="50"/>
      <c r="E221" s="50"/>
      <c r="F221" s="51"/>
      <c r="G221" s="17"/>
      <c r="H221" s="52"/>
      <c r="I221" s="53"/>
      <c r="J221" s="53"/>
      <c r="K221" s="53"/>
      <c r="L221" s="53"/>
      <c r="M221" s="76"/>
      <c r="N221" s="76"/>
      <c r="O221" s="82"/>
    </row>
    <row r="222" spans="1:15" x14ac:dyDescent="0.25">
      <c r="B222" s="5" t="s">
        <v>298</v>
      </c>
      <c r="C222" s="5" t="s">
        <v>1887</v>
      </c>
      <c r="D222" s="6">
        <v>4885384</v>
      </c>
      <c r="E222" s="6">
        <v>1281291963</v>
      </c>
      <c r="F222" s="1">
        <v>4.6336152660312905E-3</v>
      </c>
      <c r="H222" s="32">
        <f t="shared" si="3"/>
        <v>0</v>
      </c>
      <c r="I222" s="9" t="s">
        <v>943</v>
      </c>
      <c r="J222" s="9">
        <v>2</v>
      </c>
      <c r="K222" s="9">
        <v>3</v>
      </c>
      <c r="L222" s="9" t="s">
        <v>938</v>
      </c>
      <c r="M222" s="75">
        <v>0</v>
      </c>
      <c r="N222" s="78">
        <v>12739385</v>
      </c>
      <c r="O222" s="81">
        <v>4885384</v>
      </c>
    </row>
    <row r="223" spans="1:15" x14ac:dyDescent="0.25">
      <c r="B223" s="5" t="s">
        <v>299</v>
      </c>
      <c r="C223" s="5" t="s">
        <v>1713</v>
      </c>
      <c r="D223" s="6">
        <v>5714383</v>
      </c>
      <c r="E223" s="6">
        <v>689301900</v>
      </c>
      <c r="F223" s="1">
        <v>8.2901019132545547E-3</v>
      </c>
      <c r="H223" s="32">
        <f t="shared" si="3"/>
        <v>0</v>
      </c>
      <c r="I223" s="9" t="s">
        <v>939</v>
      </c>
      <c r="J223" s="9">
        <v>0</v>
      </c>
      <c r="K223" s="9">
        <v>0</v>
      </c>
      <c r="L223" s="9" t="s">
        <v>940</v>
      </c>
      <c r="M223" s="75">
        <v>0</v>
      </c>
      <c r="N223" s="78">
        <v>8050819</v>
      </c>
      <c r="O223" s="81">
        <v>5714383</v>
      </c>
    </row>
    <row r="224" spans="1:15" x14ac:dyDescent="0.25">
      <c r="B224" s="5" t="s">
        <v>300</v>
      </c>
      <c r="C224" s="5" t="s">
        <v>2271</v>
      </c>
      <c r="D224" s="6">
        <v>829418</v>
      </c>
      <c r="E224" s="6">
        <v>555973015</v>
      </c>
      <c r="F224" s="1">
        <v>1.4918313976083892E-3</v>
      </c>
      <c r="H224" s="32">
        <f t="shared" si="3"/>
        <v>0</v>
      </c>
      <c r="I224" s="9" t="s">
        <v>939</v>
      </c>
      <c r="J224" s="9">
        <v>0</v>
      </c>
      <c r="K224" s="9">
        <v>0</v>
      </c>
      <c r="L224" s="9" t="s">
        <v>940</v>
      </c>
      <c r="M224" s="75">
        <v>0</v>
      </c>
      <c r="N224" s="78">
        <v>6203096</v>
      </c>
      <c r="O224" s="81">
        <v>829418</v>
      </c>
    </row>
    <row r="225" spans="1:15" x14ac:dyDescent="0.25">
      <c r="B225" s="5" t="s">
        <v>301</v>
      </c>
      <c r="C225" s="5" t="s">
        <v>1249</v>
      </c>
      <c r="D225" s="6">
        <v>153773</v>
      </c>
      <c r="E225" s="6">
        <v>8154700</v>
      </c>
      <c r="F225" s="1">
        <v>1.885697818435994E-2</v>
      </c>
      <c r="H225" s="32">
        <f t="shared" si="3"/>
        <v>0</v>
      </c>
      <c r="I225" s="9" t="s">
        <v>939</v>
      </c>
      <c r="J225" s="9">
        <v>0</v>
      </c>
      <c r="K225" s="9">
        <v>0</v>
      </c>
      <c r="L225" s="9" t="s">
        <v>940</v>
      </c>
      <c r="M225" s="75">
        <v>0</v>
      </c>
      <c r="N225" s="78">
        <v>81701</v>
      </c>
      <c r="O225" s="81">
        <v>153773</v>
      </c>
    </row>
    <row r="226" spans="1:15" x14ac:dyDescent="0.25">
      <c r="B226" s="5" t="s">
        <v>302</v>
      </c>
      <c r="C226" s="5" t="s">
        <v>1942</v>
      </c>
      <c r="D226" s="6">
        <v>160000</v>
      </c>
      <c r="E226" s="6">
        <v>6397191</v>
      </c>
      <c r="F226" s="1">
        <v>2.5010977474332095E-2</v>
      </c>
      <c r="H226" s="32">
        <f t="shared" si="3"/>
        <v>0</v>
      </c>
      <c r="I226" s="9" t="s">
        <v>939</v>
      </c>
      <c r="J226" s="9">
        <v>0</v>
      </c>
      <c r="K226" s="9">
        <v>0</v>
      </c>
      <c r="L226" s="9" t="s">
        <v>940</v>
      </c>
      <c r="M226" s="75">
        <v>0</v>
      </c>
      <c r="N226" s="78">
        <v>77312</v>
      </c>
      <c r="O226" s="81">
        <v>160000</v>
      </c>
    </row>
    <row r="227" spans="1:15" x14ac:dyDescent="0.25">
      <c r="B227" s="5" t="s">
        <v>303</v>
      </c>
      <c r="C227" s="5" t="s">
        <v>1855</v>
      </c>
      <c r="D227" s="6">
        <v>37905664</v>
      </c>
      <c r="E227" s="6">
        <v>11297777932</v>
      </c>
      <c r="F227" s="1">
        <v>3.6304886896231479E-3</v>
      </c>
      <c r="H227" s="32">
        <f t="shared" si="3"/>
        <v>2.7369098760933229E-3</v>
      </c>
      <c r="I227" s="9" t="s">
        <v>944</v>
      </c>
      <c r="J227" s="9">
        <v>1</v>
      </c>
      <c r="K227" s="9">
        <v>1</v>
      </c>
      <c r="L227" s="9" t="s">
        <v>938</v>
      </c>
      <c r="M227" s="75">
        <v>30921000</v>
      </c>
      <c r="N227" s="78">
        <v>120595986</v>
      </c>
      <c r="O227" s="81">
        <v>37905664</v>
      </c>
    </row>
    <row r="228" spans="1:15" x14ac:dyDescent="0.25">
      <c r="B228" s="5" t="s">
        <v>304</v>
      </c>
      <c r="C228" s="5" t="s">
        <v>1679</v>
      </c>
      <c r="D228" s="6">
        <v>580008</v>
      </c>
      <c r="E228" s="6">
        <v>52779612</v>
      </c>
      <c r="F228" s="1">
        <v>1.0989243346464918E-2</v>
      </c>
      <c r="H228" s="32">
        <f t="shared" si="3"/>
        <v>0</v>
      </c>
      <c r="I228" s="9" t="s">
        <v>942</v>
      </c>
      <c r="J228" s="9">
        <v>2</v>
      </c>
      <c r="K228" s="9">
        <v>4</v>
      </c>
      <c r="L228" s="9" t="s">
        <v>938</v>
      </c>
      <c r="M228" s="75">
        <v>0</v>
      </c>
      <c r="N228" s="78">
        <v>607318</v>
      </c>
      <c r="O228" s="81">
        <v>580008</v>
      </c>
    </row>
    <row r="229" spans="1:15" x14ac:dyDescent="0.25">
      <c r="A229" t="s">
        <v>1038</v>
      </c>
      <c r="B229" s="5" t="s">
        <v>305</v>
      </c>
      <c r="C229" s="5" t="s">
        <v>1039</v>
      </c>
      <c r="D229" s="6">
        <v>555126</v>
      </c>
      <c r="E229" s="6">
        <v>65619033</v>
      </c>
      <c r="F229" s="1">
        <v>8.4598320734168703E-3</v>
      </c>
      <c r="H229" s="32">
        <f t="shared" si="3"/>
        <v>0</v>
      </c>
      <c r="I229" s="9" t="s">
        <v>939</v>
      </c>
      <c r="J229" s="9">
        <v>0</v>
      </c>
      <c r="K229" s="9">
        <v>0</v>
      </c>
      <c r="L229" s="9" t="s">
        <v>940</v>
      </c>
      <c r="M229" s="75">
        <v>0</v>
      </c>
      <c r="N229" s="78">
        <v>771517</v>
      </c>
      <c r="O229" s="81">
        <v>555126</v>
      </c>
    </row>
    <row r="230" spans="1:15" x14ac:dyDescent="0.25">
      <c r="B230" s="5" t="s">
        <v>306</v>
      </c>
      <c r="C230" s="5" t="s">
        <v>1455</v>
      </c>
      <c r="D230" s="6">
        <v>40665538</v>
      </c>
      <c r="E230" s="6">
        <v>13255470961</v>
      </c>
      <c r="F230" s="1">
        <v>3.15319758332048E-3</v>
      </c>
      <c r="H230" s="32">
        <f t="shared" si="3"/>
        <v>1.14556472905995E-3</v>
      </c>
      <c r="I230" s="9" t="s">
        <v>944</v>
      </c>
      <c r="J230" s="9">
        <v>1</v>
      </c>
      <c r="K230" s="9">
        <v>1</v>
      </c>
      <c r="L230" s="9" t="s">
        <v>938</v>
      </c>
      <c r="M230" s="75">
        <v>15185000</v>
      </c>
      <c r="N230" s="78">
        <v>141303006</v>
      </c>
      <c r="O230" s="81">
        <v>40665538</v>
      </c>
    </row>
    <row r="231" spans="1:15" x14ac:dyDescent="0.25">
      <c r="B231" s="5" t="s">
        <v>307</v>
      </c>
      <c r="C231" s="5" t="s">
        <v>2272</v>
      </c>
      <c r="D231" s="6">
        <v>26962</v>
      </c>
      <c r="E231" s="6">
        <v>3745946</v>
      </c>
      <c r="F231" s="1">
        <v>1.0791933466205866E-2</v>
      </c>
      <c r="H231" s="32">
        <f t="shared" si="3"/>
        <v>0</v>
      </c>
      <c r="I231" s="9" t="s">
        <v>939</v>
      </c>
      <c r="J231" s="9">
        <v>0</v>
      </c>
      <c r="K231" s="9">
        <v>0</v>
      </c>
      <c r="L231" s="9" t="s">
        <v>940</v>
      </c>
      <c r="M231" s="75">
        <v>0</v>
      </c>
      <c r="N231" s="78">
        <v>37807</v>
      </c>
      <c r="O231" s="81">
        <v>26962</v>
      </c>
    </row>
    <row r="232" spans="1:15" x14ac:dyDescent="0.25">
      <c r="B232" s="5" t="s">
        <v>308</v>
      </c>
      <c r="C232" s="5" t="s">
        <v>1549</v>
      </c>
      <c r="D232" s="6">
        <v>115336</v>
      </c>
      <c r="E232" s="6">
        <v>11783800</v>
      </c>
      <c r="F232" s="1">
        <v>9.7876746041175178E-3</v>
      </c>
      <c r="H232" s="32">
        <f t="shared" si="3"/>
        <v>0</v>
      </c>
      <c r="I232" s="9" t="s">
        <v>939</v>
      </c>
      <c r="J232" s="9">
        <v>0</v>
      </c>
      <c r="K232" s="9">
        <v>0</v>
      </c>
      <c r="L232" s="9" t="s">
        <v>940</v>
      </c>
      <c r="M232" s="75">
        <v>0</v>
      </c>
      <c r="N232" s="78">
        <v>123274</v>
      </c>
      <c r="O232" s="81">
        <v>115336</v>
      </c>
    </row>
    <row r="233" spans="1:15" x14ac:dyDescent="0.25">
      <c r="B233" s="5" t="s">
        <v>309</v>
      </c>
      <c r="C233" s="5" t="s">
        <v>1509</v>
      </c>
      <c r="D233" s="6">
        <v>37340</v>
      </c>
      <c r="E233" s="6">
        <v>10297900</v>
      </c>
      <c r="F233" s="1">
        <v>3.6259819963293488E-3</v>
      </c>
      <c r="H233" s="32">
        <f t="shared" si="3"/>
        <v>0</v>
      </c>
      <c r="I233" s="9" t="s">
        <v>939</v>
      </c>
      <c r="J233" s="9">
        <v>0</v>
      </c>
      <c r="K233" s="9">
        <v>0</v>
      </c>
      <c r="L233" s="9" t="s">
        <v>940</v>
      </c>
      <c r="M233" s="75">
        <v>0</v>
      </c>
      <c r="N233" s="78">
        <v>104085</v>
      </c>
      <c r="O233" s="81">
        <v>37340</v>
      </c>
    </row>
    <row r="234" spans="1:15" x14ac:dyDescent="0.25">
      <c r="B234" s="5" t="s">
        <v>310</v>
      </c>
      <c r="C234" s="5" t="s">
        <v>1490</v>
      </c>
      <c r="D234" s="6">
        <v>739857</v>
      </c>
      <c r="E234" s="6">
        <v>45657255</v>
      </c>
      <c r="F234" s="1">
        <v>1.6204587857942841E-2</v>
      </c>
      <c r="H234" s="32">
        <f t="shared" si="3"/>
        <v>0</v>
      </c>
      <c r="I234" s="9" t="s">
        <v>946</v>
      </c>
      <c r="J234" s="9">
        <v>3</v>
      </c>
      <c r="K234" s="9">
        <v>6</v>
      </c>
      <c r="L234" s="9" t="s">
        <v>938</v>
      </c>
      <c r="M234" s="75">
        <v>0</v>
      </c>
      <c r="N234" s="78">
        <v>551798</v>
      </c>
      <c r="O234" s="81">
        <v>739857</v>
      </c>
    </row>
    <row r="235" spans="1:15" x14ac:dyDescent="0.25">
      <c r="A235" t="s">
        <v>1440</v>
      </c>
      <c r="B235" s="5" t="s">
        <v>311</v>
      </c>
      <c r="C235" s="5" t="s">
        <v>1180</v>
      </c>
      <c r="D235" s="6">
        <v>506921</v>
      </c>
      <c r="E235" s="6">
        <v>68185100</v>
      </c>
      <c r="F235" s="1">
        <v>7.4344834868614994E-3</v>
      </c>
      <c r="H235" s="32">
        <f t="shared" si="3"/>
        <v>0</v>
      </c>
      <c r="I235" s="9" t="s">
        <v>939</v>
      </c>
      <c r="J235" s="9">
        <v>0</v>
      </c>
      <c r="K235" s="9">
        <v>0</v>
      </c>
      <c r="L235" s="9" t="s">
        <v>940</v>
      </c>
      <c r="M235" s="75">
        <v>0</v>
      </c>
      <c r="N235" s="78">
        <v>726515</v>
      </c>
      <c r="O235" s="81">
        <v>506921</v>
      </c>
    </row>
    <row r="236" spans="1:15" x14ac:dyDescent="0.25">
      <c r="B236" s="5" t="s">
        <v>312</v>
      </c>
      <c r="C236" s="5" t="s">
        <v>1862</v>
      </c>
      <c r="D236" s="6">
        <v>31633</v>
      </c>
      <c r="E236" s="6">
        <v>6739100</v>
      </c>
      <c r="F236" s="1">
        <v>4.6939502307429774E-3</v>
      </c>
      <c r="H236" s="32">
        <f t="shared" si="3"/>
        <v>0</v>
      </c>
      <c r="I236" s="9" t="s">
        <v>939</v>
      </c>
      <c r="J236" s="9">
        <v>0</v>
      </c>
      <c r="K236" s="9">
        <v>0</v>
      </c>
      <c r="L236" s="9" t="s">
        <v>940</v>
      </c>
      <c r="M236" s="75">
        <v>0</v>
      </c>
      <c r="N236" s="78">
        <v>71961</v>
      </c>
      <c r="O236" s="81">
        <v>31633</v>
      </c>
    </row>
    <row r="237" spans="1:15" x14ac:dyDescent="0.25">
      <c r="B237" s="5" t="s">
        <v>313</v>
      </c>
      <c r="C237" s="5" t="s">
        <v>1625</v>
      </c>
      <c r="D237" s="6">
        <v>13103822</v>
      </c>
      <c r="E237" s="6">
        <v>2578862331</v>
      </c>
      <c r="F237" s="1">
        <v>5.0812413840326089E-3</v>
      </c>
      <c r="H237" s="32">
        <f t="shared" si="3"/>
        <v>2.2699932174083937E-2</v>
      </c>
      <c r="I237" s="9" t="s">
        <v>941</v>
      </c>
      <c r="J237" s="9">
        <v>2</v>
      </c>
      <c r="K237" s="9">
        <v>2</v>
      </c>
      <c r="L237" s="9" t="s">
        <v>938</v>
      </c>
      <c r="M237" s="75">
        <v>58540000</v>
      </c>
      <c r="N237" s="78">
        <v>29409713</v>
      </c>
      <c r="O237" s="81">
        <v>13103822</v>
      </c>
    </row>
    <row r="238" spans="1:15" x14ac:dyDescent="0.25">
      <c r="B238" s="5" t="s">
        <v>314</v>
      </c>
      <c r="C238" s="5" t="s">
        <v>1835</v>
      </c>
      <c r="D238" s="6">
        <v>2167043</v>
      </c>
      <c r="E238" s="6">
        <v>466806800</v>
      </c>
      <c r="F238" s="1">
        <v>5.5283963301305805E-3</v>
      </c>
      <c r="H238" s="32">
        <f t="shared" si="3"/>
        <v>2.0351723668121373E-2</v>
      </c>
      <c r="I238" s="9" t="s">
        <v>941</v>
      </c>
      <c r="J238" s="9">
        <v>2</v>
      </c>
      <c r="K238" s="9">
        <v>2</v>
      </c>
      <c r="L238" s="9" t="s">
        <v>938</v>
      </c>
      <c r="M238" s="75">
        <v>9500323</v>
      </c>
      <c r="N238" s="78">
        <v>4711827</v>
      </c>
      <c r="O238" s="81">
        <v>2167043</v>
      </c>
    </row>
    <row r="239" spans="1:15" x14ac:dyDescent="0.25">
      <c r="B239" s="5" t="s">
        <v>315</v>
      </c>
      <c r="C239" s="5" t="s">
        <v>1740</v>
      </c>
      <c r="D239" s="6">
        <v>49911</v>
      </c>
      <c r="E239" s="6">
        <v>10509600</v>
      </c>
      <c r="F239" s="1">
        <v>4.7490865494405118E-3</v>
      </c>
      <c r="H239" s="32">
        <f t="shared" si="3"/>
        <v>0</v>
      </c>
      <c r="I239" s="9" t="s">
        <v>939</v>
      </c>
      <c r="J239" s="9">
        <v>0</v>
      </c>
      <c r="K239" s="9">
        <v>0</v>
      </c>
      <c r="L239" s="9" t="s">
        <v>940</v>
      </c>
      <c r="M239" s="75">
        <v>0</v>
      </c>
      <c r="N239" s="78">
        <v>96687</v>
      </c>
      <c r="O239" s="81">
        <v>49911</v>
      </c>
    </row>
    <row r="240" spans="1:15" x14ac:dyDescent="0.25">
      <c r="B240" s="5" t="s">
        <v>316</v>
      </c>
      <c r="C240" s="5" t="s">
        <v>1917</v>
      </c>
      <c r="D240" s="6">
        <v>429718</v>
      </c>
      <c r="E240" s="6">
        <v>38567742</v>
      </c>
      <c r="F240" s="1">
        <v>1.114190195526614E-2</v>
      </c>
      <c r="H240" s="32">
        <f t="shared" si="3"/>
        <v>0</v>
      </c>
      <c r="I240" s="9" t="s">
        <v>939</v>
      </c>
      <c r="J240" s="9">
        <v>0</v>
      </c>
      <c r="K240" s="9">
        <v>0</v>
      </c>
      <c r="L240" s="9" t="s">
        <v>940</v>
      </c>
      <c r="M240" s="75">
        <v>0</v>
      </c>
      <c r="N240" s="78">
        <v>433468</v>
      </c>
      <c r="O240" s="81">
        <v>429718</v>
      </c>
    </row>
    <row r="241" spans="1:15" x14ac:dyDescent="0.25">
      <c r="A241" t="s">
        <v>1040</v>
      </c>
      <c r="B241" s="5" t="s">
        <v>317</v>
      </c>
      <c r="C241" s="5" t="s">
        <v>1041</v>
      </c>
      <c r="D241" s="6">
        <v>210011</v>
      </c>
      <c r="E241" s="6">
        <v>12676152</v>
      </c>
      <c r="F241" s="1">
        <v>1.6567409415728054E-2</v>
      </c>
      <c r="H241" s="32">
        <f t="shared" si="3"/>
        <v>0</v>
      </c>
      <c r="I241" s="9" t="s">
        <v>939</v>
      </c>
      <c r="J241" s="9">
        <v>0</v>
      </c>
      <c r="K241" s="9">
        <v>0</v>
      </c>
      <c r="L241" s="9" t="s">
        <v>940</v>
      </c>
      <c r="M241" s="75">
        <v>0</v>
      </c>
      <c r="N241" s="78">
        <v>134192</v>
      </c>
      <c r="O241" s="81">
        <v>210011</v>
      </c>
    </row>
    <row r="242" spans="1:15" x14ac:dyDescent="0.25">
      <c r="B242" s="5" t="s">
        <v>318</v>
      </c>
      <c r="C242" s="5" t="s">
        <v>2273</v>
      </c>
      <c r="D242" s="6">
        <v>16787</v>
      </c>
      <c r="E242" s="6">
        <v>10152000</v>
      </c>
      <c r="F242" s="1">
        <v>1.6535657998423955E-3</v>
      </c>
      <c r="H242" s="32">
        <f t="shared" si="3"/>
        <v>0</v>
      </c>
      <c r="I242" s="9" t="s">
        <v>939</v>
      </c>
      <c r="J242" s="9">
        <v>0</v>
      </c>
      <c r="K242" s="9">
        <v>0</v>
      </c>
      <c r="L242" s="9" t="s">
        <v>940</v>
      </c>
      <c r="M242" s="75">
        <v>0</v>
      </c>
      <c r="N242" s="78">
        <v>79786</v>
      </c>
      <c r="O242" s="81">
        <v>16787</v>
      </c>
    </row>
    <row r="243" spans="1:15" x14ac:dyDescent="0.25">
      <c r="B243" s="5" t="s">
        <v>319</v>
      </c>
      <c r="C243" s="5" t="s">
        <v>1700</v>
      </c>
      <c r="D243" s="6">
        <v>389411</v>
      </c>
      <c r="E243" s="6">
        <v>9383800</v>
      </c>
      <c r="F243" s="1">
        <v>4.1498220337176837E-2</v>
      </c>
      <c r="H243" s="32">
        <f t="shared" si="3"/>
        <v>7.8859310726997599E-3</v>
      </c>
      <c r="I243" s="9" t="s">
        <v>939</v>
      </c>
      <c r="J243" s="9">
        <v>0</v>
      </c>
      <c r="K243" s="9">
        <v>0</v>
      </c>
      <c r="L243" s="9" t="s">
        <v>940</v>
      </c>
      <c r="M243" s="75">
        <v>74000</v>
      </c>
      <c r="N243" s="78">
        <v>103524</v>
      </c>
      <c r="O243" s="81">
        <v>389411</v>
      </c>
    </row>
    <row r="244" spans="1:15" x14ac:dyDescent="0.25">
      <c r="B244" s="5" t="s">
        <v>320</v>
      </c>
      <c r="C244" s="5" t="s">
        <v>2274</v>
      </c>
      <c r="D244" s="6">
        <v>27660</v>
      </c>
      <c r="E244" s="6">
        <v>12969700</v>
      </c>
      <c r="F244" s="1">
        <v>2.1326630531161091E-3</v>
      </c>
      <c r="H244" s="32">
        <f t="shared" si="3"/>
        <v>0</v>
      </c>
      <c r="I244" s="9" t="s">
        <v>939</v>
      </c>
      <c r="J244" s="9">
        <v>0</v>
      </c>
      <c r="K244" s="9">
        <v>0</v>
      </c>
      <c r="L244" s="9" t="s">
        <v>940</v>
      </c>
      <c r="M244" s="75">
        <v>0</v>
      </c>
      <c r="N244" s="78">
        <v>148693</v>
      </c>
      <c r="O244" s="81">
        <v>27660</v>
      </c>
    </row>
    <row r="245" spans="1:15" x14ac:dyDescent="0.25">
      <c r="B245" s="5" t="s">
        <v>321</v>
      </c>
      <c r="C245" s="5" t="s">
        <v>1803</v>
      </c>
      <c r="D245" s="6">
        <v>1592487</v>
      </c>
      <c r="E245" s="6">
        <v>148924512</v>
      </c>
      <c r="F245" s="1">
        <v>1.3001278124047168E-2</v>
      </c>
      <c r="H245" s="32">
        <f t="shared" si="3"/>
        <v>1.1650197651814364E-2</v>
      </c>
      <c r="I245" s="9" t="s">
        <v>942</v>
      </c>
      <c r="J245" s="9">
        <v>2</v>
      </c>
      <c r="K245" s="9">
        <v>4</v>
      </c>
      <c r="L245" s="9" t="s">
        <v>938</v>
      </c>
      <c r="M245" s="75">
        <v>1735000</v>
      </c>
      <c r="N245" s="78">
        <v>1487218</v>
      </c>
      <c r="O245" s="81">
        <v>1592487</v>
      </c>
    </row>
    <row r="246" spans="1:15" x14ac:dyDescent="0.25">
      <c r="A246" t="s">
        <v>1042</v>
      </c>
      <c r="B246" s="5" t="s">
        <v>322</v>
      </c>
      <c r="C246" s="5" t="s">
        <v>1043</v>
      </c>
      <c r="D246" s="6">
        <v>719077</v>
      </c>
      <c r="E246" s="6">
        <v>105265300</v>
      </c>
      <c r="F246" s="1">
        <v>6.8310924872678844E-3</v>
      </c>
      <c r="H246" s="32">
        <f t="shared" si="3"/>
        <v>0</v>
      </c>
      <c r="I246" s="9" t="s">
        <v>942</v>
      </c>
      <c r="J246" s="9">
        <v>2</v>
      </c>
      <c r="K246" s="9">
        <v>4</v>
      </c>
      <c r="L246" s="9" t="s">
        <v>938</v>
      </c>
      <c r="M246" s="75">
        <v>0</v>
      </c>
      <c r="N246" s="78">
        <v>1103804</v>
      </c>
      <c r="O246" s="81">
        <v>719077</v>
      </c>
    </row>
    <row r="247" spans="1:15" x14ac:dyDescent="0.25">
      <c r="B247" s="5" t="s">
        <v>323</v>
      </c>
      <c r="C247" s="5" t="s">
        <v>2275</v>
      </c>
      <c r="D247" s="6">
        <v>1040929</v>
      </c>
      <c r="E247" s="6">
        <v>275633454</v>
      </c>
      <c r="F247" s="1">
        <v>3.7926274362908067E-3</v>
      </c>
      <c r="H247" s="32">
        <f t="shared" si="3"/>
        <v>1.0521219242131618E-3</v>
      </c>
      <c r="I247" s="9" t="s">
        <v>942</v>
      </c>
      <c r="J247" s="9">
        <v>2</v>
      </c>
      <c r="K247" s="9">
        <v>4</v>
      </c>
      <c r="L247" s="9" t="s">
        <v>938</v>
      </c>
      <c r="M247" s="75">
        <v>290000</v>
      </c>
      <c r="N247" s="78">
        <v>2776754</v>
      </c>
      <c r="O247" s="81">
        <v>1040929</v>
      </c>
    </row>
    <row r="248" spans="1:15" x14ac:dyDescent="0.25">
      <c r="A248" t="s">
        <v>1044</v>
      </c>
      <c r="B248" s="5" t="s">
        <v>324</v>
      </c>
      <c r="C248" s="5" t="s">
        <v>1045</v>
      </c>
      <c r="D248" s="6">
        <v>186446</v>
      </c>
      <c r="E248" s="6">
        <v>13180900</v>
      </c>
      <c r="F248" s="1">
        <v>1.414516459422346E-2</v>
      </c>
      <c r="H248" s="32">
        <f t="shared" si="3"/>
        <v>0</v>
      </c>
      <c r="I248" s="9" t="s">
        <v>939</v>
      </c>
      <c r="J248" s="9">
        <v>0</v>
      </c>
      <c r="K248" s="9">
        <v>0</v>
      </c>
      <c r="L248" s="9" t="s">
        <v>940</v>
      </c>
      <c r="M248" s="75">
        <v>0</v>
      </c>
      <c r="N248" s="78">
        <v>142107</v>
      </c>
      <c r="O248" s="81">
        <v>186446</v>
      </c>
    </row>
    <row r="249" spans="1:15" x14ac:dyDescent="0.25">
      <c r="B249" s="5" t="s">
        <v>325</v>
      </c>
      <c r="C249" s="5" t="s">
        <v>2276</v>
      </c>
      <c r="D249" s="6">
        <v>32804</v>
      </c>
      <c r="E249" s="6">
        <v>4500300</v>
      </c>
      <c r="F249" s="1">
        <v>7.2892918249894455E-3</v>
      </c>
      <c r="H249" s="32">
        <f t="shared" si="3"/>
        <v>0</v>
      </c>
      <c r="I249" s="9" t="s">
        <v>939</v>
      </c>
      <c r="J249" s="9">
        <v>0</v>
      </c>
      <c r="K249" s="9">
        <v>0</v>
      </c>
      <c r="L249" s="9" t="s">
        <v>940</v>
      </c>
      <c r="M249" s="75">
        <v>0</v>
      </c>
      <c r="N249" s="78">
        <v>52296</v>
      </c>
      <c r="O249" s="81">
        <v>32804</v>
      </c>
    </row>
    <row r="250" spans="1:15" x14ac:dyDescent="0.25">
      <c r="B250" s="5" t="s">
        <v>326</v>
      </c>
      <c r="C250" s="5" t="s">
        <v>1892</v>
      </c>
      <c r="D250" s="6">
        <v>182291</v>
      </c>
      <c r="E250" s="6">
        <v>16070400</v>
      </c>
      <c r="F250" s="1">
        <v>1.1343277080844285E-2</v>
      </c>
      <c r="H250" s="32">
        <f t="shared" si="3"/>
        <v>0</v>
      </c>
      <c r="I250" s="9" t="s">
        <v>939</v>
      </c>
      <c r="J250" s="9">
        <v>0</v>
      </c>
      <c r="K250" s="9">
        <v>0</v>
      </c>
      <c r="L250" s="9" t="s">
        <v>940</v>
      </c>
      <c r="M250" s="75">
        <v>0</v>
      </c>
      <c r="N250" s="78">
        <v>198512</v>
      </c>
      <c r="O250" s="81">
        <v>182291</v>
      </c>
    </row>
    <row r="251" spans="1:15" x14ac:dyDescent="0.25">
      <c r="B251" s="5" t="s">
        <v>327</v>
      </c>
      <c r="C251" s="5" t="s">
        <v>1982</v>
      </c>
      <c r="D251" s="6">
        <v>28851</v>
      </c>
      <c r="E251" s="6">
        <v>4934900</v>
      </c>
      <c r="F251" s="1">
        <v>5.8463190743480112E-3</v>
      </c>
      <c r="H251" s="32">
        <f t="shared" si="3"/>
        <v>0</v>
      </c>
      <c r="I251" s="9" t="s">
        <v>939</v>
      </c>
      <c r="J251" s="9">
        <v>0</v>
      </c>
      <c r="K251" s="9">
        <v>0</v>
      </c>
      <c r="L251" s="9" t="s">
        <v>940</v>
      </c>
      <c r="M251" s="75">
        <v>0</v>
      </c>
      <c r="N251" s="78">
        <v>33858</v>
      </c>
      <c r="O251" s="81">
        <v>28851</v>
      </c>
    </row>
    <row r="252" spans="1:15" x14ac:dyDescent="0.25">
      <c r="B252" s="5" t="s">
        <v>328</v>
      </c>
      <c r="C252" s="5" t="s">
        <v>1488</v>
      </c>
      <c r="D252" s="6">
        <v>223587</v>
      </c>
      <c r="E252" s="6">
        <v>23327345</v>
      </c>
      <c r="F252" s="1">
        <v>9.5847598601555388E-3</v>
      </c>
      <c r="H252" s="32">
        <f t="shared" si="3"/>
        <v>0</v>
      </c>
      <c r="I252" s="9" t="s">
        <v>941</v>
      </c>
      <c r="J252" s="9">
        <v>2</v>
      </c>
      <c r="K252" s="9">
        <v>2</v>
      </c>
      <c r="L252" s="9" t="s">
        <v>938</v>
      </c>
      <c r="M252" s="75">
        <v>0</v>
      </c>
      <c r="N252" s="78">
        <v>230553</v>
      </c>
      <c r="O252" s="81">
        <v>223587</v>
      </c>
    </row>
    <row r="253" spans="1:15" x14ac:dyDescent="0.25">
      <c r="A253" t="s">
        <v>1046</v>
      </c>
      <c r="B253" s="5" t="s">
        <v>329</v>
      </c>
      <c r="C253" s="5" t="s">
        <v>1047</v>
      </c>
      <c r="D253" s="6">
        <v>1388410</v>
      </c>
      <c r="E253" s="6">
        <v>103295806</v>
      </c>
      <c r="F253" s="1">
        <v>2.018597928361196E-2</v>
      </c>
      <c r="H253" s="32">
        <f t="shared" si="3"/>
        <v>0</v>
      </c>
      <c r="I253" s="9" t="s">
        <v>939</v>
      </c>
      <c r="J253" s="9">
        <v>0</v>
      </c>
      <c r="K253" s="9">
        <v>0</v>
      </c>
      <c r="L253" s="9" t="s">
        <v>940</v>
      </c>
      <c r="M253" s="75">
        <v>0</v>
      </c>
      <c r="N253" s="78">
        <v>1102421</v>
      </c>
      <c r="O253" s="81">
        <v>1388410</v>
      </c>
    </row>
    <row r="254" spans="1:15" x14ac:dyDescent="0.25">
      <c r="A254" t="s">
        <v>1437</v>
      </c>
      <c r="B254" s="5" t="s">
        <v>330</v>
      </c>
      <c r="C254" s="5" t="s">
        <v>1049</v>
      </c>
      <c r="D254" s="6">
        <v>1946207</v>
      </c>
      <c r="E254" s="6">
        <v>607176630</v>
      </c>
      <c r="F254" s="1">
        <v>3.3075960120533625E-3</v>
      </c>
      <c r="H254" s="32">
        <f t="shared" si="3"/>
        <v>1.4658008164774063E-3</v>
      </c>
      <c r="I254" s="9" t="s">
        <v>944</v>
      </c>
      <c r="J254" s="9">
        <v>1</v>
      </c>
      <c r="K254" s="9">
        <v>1</v>
      </c>
      <c r="L254" s="9" t="s">
        <v>938</v>
      </c>
      <c r="M254" s="75">
        <v>890000</v>
      </c>
      <c r="N254" s="78">
        <v>6652344</v>
      </c>
      <c r="O254" s="81">
        <v>1946207</v>
      </c>
    </row>
    <row r="255" spans="1:15" x14ac:dyDescent="0.25">
      <c r="B255" s="5" t="s">
        <v>331</v>
      </c>
      <c r="C255" s="5" t="s">
        <v>1502</v>
      </c>
      <c r="D255" s="6">
        <v>852088</v>
      </c>
      <c r="E255" s="6">
        <v>138457677</v>
      </c>
      <c r="F255" s="1">
        <v>6.1541405176110241E-3</v>
      </c>
      <c r="H255" s="32">
        <f t="shared" si="3"/>
        <v>2.1053364921036485E-2</v>
      </c>
      <c r="I255" s="9" t="s">
        <v>942</v>
      </c>
      <c r="J255" s="9">
        <v>2</v>
      </c>
      <c r="K255" s="9">
        <v>4</v>
      </c>
      <c r="L255" s="9" t="s">
        <v>938</v>
      </c>
      <c r="M255" s="75">
        <v>2915000</v>
      </c>
      <c r="N255" s="78">
        <v>1479272</v>
      </c>
      <c r="O255" s="81">
        <v>852088</v>
      </c>
    </row>
    <row r="256" spans="1:15" x14ac:dyDescent="0.25">
      <c r="B256" s="5" t="s">
        <v>332</v>
      </c>
      <c r="C256" s="5" t="s">
        <v>1531</v>
      </c>
      <c r="D256" s="6">
        <v>475002</v>
      </c>
      <c r="E256" s="6">
        <v>41042825</v>
      </c>
      <c r="F256" s="1">
        <v>1.1573326153840531E-2</v>
      </c>
      <c r="H256" s="32">
        <f t="shared" si="3"/>
        <v>0</v>
      </c>
      <c r="I256" s="9" t="s">
        <v>946</v>
      </c>
      <c r="J256" s="9">
        <v>3</v>
      </c>
      <c r="K256" s="9">
        <v>6</v>
      </c>
      <c r="L256" s="9" t="s">
        <v>938</v>
      </c>
      <c r="M256" s="75">
        <v>0</v>
      </c>
      <c r="N256" s="78">
        <v>441884</v>
      </c>
      <c r="O256" s="81">
        <v>475002</v>
      </c>
    </row>
    <row r="257" spans="1:15" x14ac:dyDescent="0.25">
      <c r="A257" t="s">
        <v>1050</v>
      </c>
      <c r="B257" s="5" t="s">
        <v>333</v>
      </c>
      <c r="C257" s="5" t="s">
        <v>1051</v>
      </c>
      <c r="D257" s="6">
        <v>5667869</v>
      </c>
      <c r="E257" s="6">
        <v>755951400</v>
      </c>
      <c r="F257" s="1">
        <v>7.4976632095661178E-3</v>
      </c>
      <c r="H257" s="32">
        <f t="shared" si="3"/>
        <v>0</v>
      </c>
      <c r="I257" s="9" t="s">
        <v>939</v>
      </c>
      <c r="J257" s="9">
        <v>0</v>
      </c>
      <c r="K257" s="9">
        <v>0</v>
      </c>
      <c r="L257" s="9" t="s">
        <v>940</v>
      </c>
      <c r="M257" s="75">
        <v>0</v>
      </c>
      <c r="N257" s="78">
        <v>9502230</v>
      </c>
      <c r="O257" s="81">
        <v>5667869</v>
      </c>
    </row>
    <row r="258" spans="1:15" x14ac:dyDescent="0.25">
      <c r="B258" s="5" t="s">
        <v>334</v>
      </c>
      <c r="C258" s="5" t="s">
        <v>2277</v>
      </c>
      <c r="D258" s="6">
        <v>1866345</v>
      </c>
      <c r="E258" s="6">
        <v>515862500</v>
      </c>
      <c r="F258" s="1">
        <v>4.3602045118612031E-3</v>
      </c>
      <c r="H258" s="32">
        <f t="shared" si="3"/>
        <v>0</v>
      </c>
      <c r="I258" s="9" t="s">
        <v>944</v>
      </c>
      <c r="J258" s="9">
        <v>1</v>
      </c>
      <c r="K258" s="9">
        <v>1</v>
      </c>
      <c r="L258" s="9" t="s">
        <v>938</v>
      </c>
      <c r="M258" s="75">
        <v>0</v>
      </c>
      <c r="N258" s="78">
        <v>5134645</v>
      </c>
      <c r="O258" s="81">
        <v>1866345</v>
      </c>
    </row>
    <row r="259" spans="1:15" x14ac:dyDescent="0.25">
      <c r="A259" t="s">
        <v>1052</v>
      </c>
      <c r="B259" s="5" t="s">
        <v>335</v>
      </c>
      <c r="C259" s="5" t="s">
        <v>1053</v>
      </c>
      <c r="D259" s="6">
        <v>10162244</v>
      </c>
      <c r="E259" s="6">
        <v>1554252000</v>
      </c>
      <c r="F259" s="1">
        <v>6.5383502803921115E-3</v>
      </c>
      <c r="H259" s="32">
        <f t="shared" si="3"/>
        <v>8.4413595736083976E-3</v>
      </c>
      <c r="I259" s="9" t="s">
        <v>943</v>
      </c>
      <c r="J259" s="9">
        <v>2</v>
      </c>
      <c r="K259" s="9">
        <v>3</v>
      </c>
      <c r="L259" s="9" t="s">
        <v>938</v>
      </c>
      <c r="M259" s="75">
        <v>13120000</v>
      </c>
      <c r="N259" s="78">
        <v>19329347</v>
      </c>
      <c r="O259" s="81">
        <v>10162244</v>
      </c>
    </row>
    <row r="260" spans="1:15" x14ac:dyDescent="0.25">
      <c r="B260" s="5" t="s">
        <v>336</v>
      </c>
      <c r="C260" s="5" t="s">
        <v>1649</v>
      </c>
      <c r="D260" s="6">
        <v>11269102</v>
      </c>
      <c r="E260" s="6">
        <v>2247580874</v>
      </c>
      <c r="F260" s="1">
        <v>6.0272625366716839E-3</v>
      </c>
      <c r="H260" s="32">
        <f t="shared" ref="H260:H324" si="4">M260/E260</f>
        <v>2.9609613059912521E-3</v>
      </c>
      <c r="I260" s="9" t="s">
        <v>941</v>
      </c>
      <c r="J260" s="9">
        <v>2</v>
      </c>
      <c r="K260" s="9">
        <v>2</v>
      </c>
      <c r="L260" s="9" t="s">
        <v>938</v>
      </c>
      <c r="M260" s="75">
        <v>6655000</v>
      </c>
      <c r="N260" s="78">
        <v>22878808</v>
      </c>
      <c r="O260" s="81">
        <v>11269102</v>
      </c>
    </row>
    <row r="261" spans="1:15" x14ac:dyDescent="0.25">
      <c r="B261" s="5" t="s">
        <v>337</v>
      </c>
      <c r="C261" s="5" t="s">
        <v>2278</v>
      </c>
      <c r="D261" s="6">
        <v>11004</v>
      </c>
      <c r="E261" s="6">
        <v>2351565</v>
      </c>
      <c r="F261" s="1">
        <v>4.6794368856484933E-3</v>
      </c>
      <c r="H261" s="32">
        <f t="shared" si="4"/>
        <v>0</v>
      </c>
      <c r="I261" s="9" t="s">
        <v>939</v>
      </c>
      <c r="J261" s="9">
        <v>0</v>
      </c>
      <c r="K261" s="9">
        <v>0</v>
      </c>
      <c r="L261" s="9" t="s">
        <v>940</v>
      </c>
      <c r="M261" s="75">
        <v>0</v>
      </c>
      <c r="N261" s="78">
        <v>26440</v>
      </c>
      <c r="O261" s="81">
        <v>11004</v>
      </c>
    </row>
    <row r="262" spans="1:15" x14ac:dyDescent="0.25">
      <c r="B262" s="5" t="s">
        <v>338</v>
      </c>
      <c r="C262" s="5" t="s">
        <v>2279</v>
      </c>
      <c r="D262" s="6">
        <v>62903</v>
      </c>
      <c r="E262" s="6">
        <v>15993970</v>
      </c>
      <c r="F262" s="1">
        <v>3.9329197191191427E-3</v>
      </c>
      <c r="H262" s="32">
        <f t="shared" si="4"/>
        <v>0</v>
      </c>
      <c r="I262" s="9" t="s">
        <v>939</v>
      </c>
      <c r="J262" s="9">
        <v>0</v>
      </c>
      <c r="K262" s="9">
        <v>0</v>
      </c>
      <c r="L262" s="9" t="s">
        <v>940</v>
      </c>
      <c r="M262" s="75">
        <v>0</v>
      </c>
      <c r="N262" s="78">
        <v>161697</v>
      </c>
      <c r="O262" s="81">
        <v>62903</v>
      </c>
    </row>
    <row r="263" spans="1:15" x14ac:dyDescent="0.25">
      <c r="B263" s="5" t="s">
        <v>339</v>
      </c>
      <c r="C263" s="5" t="s">
        <v>1613</v>
      </c>
      <c r="D263" s="6">
        <v>28630</v>
      </c>
      <c r="E263" s="6">
        <v>8806200</v>
      </c>
      <c r="F263" s="1">
        <v>3.2511185301265016E-3</v>
      </c>
      <c r="H263" s="32">
        <f t="shared" si="4"/>
        <v>0</v>
      </c>
      <c r="I263" s="9" t="s">
        <v>939</v>
      </c>
      <c r="J263" s="9">
        <v>0</v>
      </c>
      <c r="K263" s="9">
        <v>0</v>
      </c>
      <c r="L263" s="9" t="s">
        <v>940</v>
      </c>
      <c r="M263" s="75">
        <v>0</v>
      </c>
      <c r="N263" s="78">
        <v>94997</v>
      </c>
      <c r="O263" s="81">
        <v>28630</v>
      </c>
    </row>
    <row r="264" spans="1:15" x14ac:dyDescent="0.25">
      <c r="A264" t="s">
        <v>1054</v>
      </c>
      <c r="B264" s="5" t="s">
        <v>340</v>
      </c>
      <c r="C264" s="5" t="s">
        <v>1055</v>
      </c>
      <c r="D264" s="6">
        <v>6544856</v>
      </c>
      <c r="E264" s="6">
        <v>955329200</v>
      </c>
      <c r="F264" s="1">
        <v>6.8508907714743775E-3</v>
      </c>
      <c r="H264" s="32">
        <f t="shared" si="4"/>
        <v>8.1437895962983235E-3</v>
      </c>
      <c r="I264" s="9" t="s">
        <v>939</v>
      </c>
      <c r="J264" s="9">
        <v>0</v>
      </c>
      <c r="K264" s="9">
        <v>0</v>
      </c>
      <c r="L264" s="9" t="s">
        <v>940</v>
      </c>
      <c r="M264" s="75">
        <v>7780000</v>
      </c>
      <c r="N264" s="78">
        <v>11862975</v>
      </c>
      <c r="O264" s="81">
        <v>6544856</v>
      </c>
    </row>
    <row r="265" spans="1:15" x14ac:dyDescent="0.25">
      <c r="B265" s="5" t="s">
        <v>341</v>
      </c>
      <c r="C265" s="5" t="s">
        <v>1644</v>
      </c>
      <c r="D265" s="6">
        <v>221009</v>
      </c>
      <c r="E265" s="6">
        <v>39545600</v>
      </c>
      <c r="F265" s="1">
        <v>5.5887127771484055E-3</v>
      </c>
      <c r="H265" s="32">
        <f t="shared" si="4"/>
        <v>3.5191272859686033E-2</v>
      </c>
      <c r="I265" s="9" t="s">
        <v>951</v>
      </c>
      <c r="J265" s="9">
        <v>4</v>
      </c>
      <c r="K265" s="9">
        <v>8</v>
      </c>
      <c r="L265" s="9" t="s">
        <v>938</v>
      </c>
      <c r="M265" s="75">
        <v>1391660</v>
      </c>
      <c r="N265" s="78">
        <v>438162</v>
      </c>
      <c r="O265" s="81">
        <v>221009</v>
      </c>
    </row>
    <row r="266" spans="1:15" x14ac:dyDescent="0.25">
      <c r="B266" s="5" t="s">
        <v>342</v>
      </c>
      <c r="C266" s="5" t="s">
        <v>2280</v>
      </c>
      <c r="D266" s="6">
        <v>492058</v>
      </c>
      <c r="E266" s="6">
        <v>216592635</v>
      </c>
      <c r="F266" s="1">
        <v>2.2718131666850075E-3</v>
      </c>
      <c r="H266" s="32">
        <f t="shared" si="4"/>
        <v>0</v>
      </c>
      <c r="I266" s="9" t="s">
        <v>939</v>
      </c>
      <c r="J266" s="9">
        <v>0</v>
      </c>
      <c r="K266" s="9">
        <v>0</v>
      </c>
      <c r="L266" s="9" t="s">
        <v>940</v>
      </c>
      <c r="M266" s="75">
        <v>0</v>
      </c>
      <c r="N266" s="78">
        <v>2198240</v>
      </c>
      <c r="O266" s="81">
        <v>492058</v>
      </c>
    </row>
    <row r="267" spans="1:15" x14ac:dyDescent="0.25">
      <c r="B267" s="5" t="s">
        <v>343</v>
      </c>
      <c r="C267" s="5" t="s">
        <v>1796</v>
      </c>
      <c r="D267" s="6">
        <v>111247</v>
      </c>
      <c r="E267" s="6">
        <v>20627500</v>
      </c>
      <c r="F267" s="1">
        <v>5.3931402254272206E-3</v>
      </c>
      <c r="H267" s="32">
        <f t="shared" si="4"/>
        <v>1.4802569385529027E-2</v>
      </c>
      <c r="I267" s="9" t="s">
        <v>939</v>
      </c>
      <c r="J267" s="9">
        <v>0</v>
      </c>
      <c r="K267" s="9">
        <v>0</v>
      </c>
      <c r="L267" s="9" t="s">
        <v>940</v>
      </c>
      <c r="M267" s="75">
        <v>305340</v>
      </c>
      <c r="N267" s="78">
        <v>235215</v>
      </c>
      <c r="O267" s="81">
        <v>111247</v>
      </c>
    </row>
    <row r="268" spans="1:15" x14ac:dyDescent="0.25">
      <c r="B268" s="5" t="s">
        <v>344</v>
      </c>
      <c r="C268" s="5" t="s">
        <v>1941</v>
      </c>
      <c r="D268" s="6">
        <v>141633</v>
      </c>
      <c r="E268" s="6">
        <v>17095300</v>
      </c>
      <c r="F268" s="1">
        <v>8.2849087176007433E-3</v>
      </c>
      <c r="H268" s="32">
        <f t="shared" si="4"/>
        <v>0</v>
      </c>
      <c r="I268" s="9" t="s">
        <v>939</v>
      </c>
      <c r="J268" s="9">
        <v>0</v>
      </c>
      <c r="K268" s="9">
        <v>0</v>
      </c>
      <c r="L268" s="9" t="s">
        <v>940</v>
      </c>
      <c r="M268" s="75">
        <v>0</v>
      </c>
      <c r="N268" s="78">
        <v>179435</v>
      </c>
      <c r="O268" s="81">
        <v>141633</v>
      </c>
    </row>
    <row r="269" spans="1:15" x14ac:dyDescent="0.25">
      <c r="B269" s="5" t="s">
        <v>345</v>
      </c>
      <c r="C269" s="5" t="s">
        <v>2281</v>
      </c>
      <c r="D269" s="6">
        <v>97007</v>
      </c>
      <c r="E269" s="6">
        <v>17805800</v>
      </c>
      <c r="F269" s="1">
        <v>5.4480562513338354E-3</v>
      </c>
      <c r="H269" s="32">
        <f t="shared" si="4"/>
        <v>0</v>
      </c>
      <c r="I269" s="9" t="s">
        <v>939</v>
      </c>
      <c r="J269" s="9">
        <v>0</v>
      </c>
      <c r="K269" s="9">
        <v>0</v>
      </c>
      <c r="L269" s="9" t="s">
        <v>940</v>
      </c>
      <c r="M269" s="75">
        <v>0</v>
      </c>
      <c r="N269" s="78">
        <v>142606</v>
      </c>
      <c r="O269" s="81">
        <v>97007</v>
      </c>
    </row>
    <row r="270" spans="1:15" x14ac:dyDescent="0.25">
      <c r="B270" s="5" t="s">
        <v>346</v>
      </c>
      <c r="C270" s="5" t="s">
        <v>1754</v>
      </c>
      <c r="D270" s="6">
        <v>335005</v>
      </c>
      <c r="E270" s="6">
        <v>15640591</v>
      </c>
      <c r="F270" s="1">
        <v>2.1418947659970138E-2</v>
      </c>
      <c r="H270" s="32">
        <f t="shared" si="4"/>
        <v>0</v>
      </c>
      <c r="I270" s="9" t="s">
        <v>939</v>
      </c>
      <c r="J270" s="9">
        <v>0</v>
      </c>
      <c r="K270" s="9">
        <v>0</v>
      </c>
      <c r="L270" s="9" t="s">
        <v>940</v>
      </c>
      <c r="M270" s="75">
        <v>0</v>
      </c>
      <c r="N270" s="78">
        <v>181542</v>
      </c>
      <c r="O270" s="81">
        <v>335005</v>
      </c>
    </row>
    <row r="271" spans="1:15" x14ac:dyDescent="0.25">
      <c r="B271" s="5" t="s">
        <v>347</v>
      </c>
      <c r="C271" s="5" t="s">
        <v>1976</v>
      </c>
      <c r="D271" s="6">
        <v>17003</v>
      </c>
      <c r="E271" s="6">
        <v>670407</v>
      </c>
      <c r="F271" s="1">
        <v>2.5362205346901211E-2</v>
      </c>
      <c r="H271" s="32">
        <f t="shared" si="4"/>
        <v>0</v>
      </c>
      <c r="I271" s="9" t="s">
        <v>939</v>
      </c>
      <c r="J271" s="9">
        <v>0</v>
      </c>
      <c r="K271" s="9">
        <v>0</v>
      </c>
      <c r="L271" s="9" t="s">
        <v>940</v>
      </c>
      <c r="M271" s="75">
        <v>0</v>
      </c>
      <c r="N271" s="78">
        <v>9455</v>
      </c>
      <c r="O271" s="81">
        <v>17003</v>
      </c>
    </row>
    <row r="272" spans="1:15" x14ac:dyDescent="0.25">
      <c r="B272" s="5" t="s">
        <v>348</v>
      </c>
      <c r="C272" s="5" t="s">
        <v>1814</v>
      </c>
      <c r="D272" s="6">
        <v>1080804</v>
      </c>
      <c r="E272" s="6">
        <v>139611700</v>
      </c>
      <c r="F272" s="1">
        <v>7.7415001751285888E-3</v>
      </c>
      <c r="H272" s="32">
        <f t="shared" si="4"/>
        <v>0</v>
      </c>
      <c r="I272" s="9" t="s">
        <v>942</v>
      </c>
      <c r="J272" s="9">
        <v>2</v>
      </c>
      <c r="K272" s="9">
        <v>4</v>
      </c>
      <c r="L272" s="9" t="s">
        <v>938</v>
      </c>
      <c r="M272" s="75">
        <v>0</v>
      </c>
      <c r="N272" s="78">
        <v>1576512</v>
      </c>
      <c r="O272" s="81">
        <v>1080804</v>
      </c>
    </row>
    <row r="273" spans="1:15" x14ac:dyDescent="0.25">
      <c r="B273" s="5" t="s">
        <v>349</v>
      </c>
      <c r="C273" s="5" t="s">
        <v>2282</v>
      </c>
      <c r="D273" s="6">
        <v>151639</v>
      </c>
      <c r="E273" s="6">
        <v>32112233</v>
      </c>
      <c r="F273" s="1">
        <v>4.7221568179329045E-3</v>
      </c>
      <c r="H273" s="32">
        <f t="shared" si="4"/>
        <v>0</v>
      </c>
      <c r="I273" s="9" t="s">
        <v>939</v>
      </c>
      <c r="J273" s="9">
        <v>0</v>
      </c>
      <c r="K273" s="9">
        <v>0</v>
      </c>
      <c r="L273" s="9" t="s">
        <v>940</v>
      </c>
      <c r="M273" s="75">
        <v>0</v>
      </c>
      <c r="N273" s="78">
        <v>336357</v>
      </c>
      <c r="O273" s="81">
        <v>151639</v>
      </c>
    </row>
    <row r="274" spans="1:15" x14ac:dyDescent="0.25">
      <c r="B274" s="5" t="s">
        <v>350</v>
      </c>
      <c r="C274" s="5" t="s">
        <v>1685</v>
      </c>
      <c r="D274" s="6">
        <v>10095767</v>
      </c>
      <c r="E274" s="6">
        <v>2418267600</v>
      </c>
      <c r="F274" s="1">
        <v>4.7339616178126856E-3</v>
      </c>
      <c r="H274" s="32">
        <f t="shared" si="4"/>
        <v>9.9678794852976569E-3</v>
      </c>
      <c r="I274" s="9" t="s">
        <v>941</v>
      </c>
      <c r="J274" s="9">
        <v>2</v>
      </c>
      <c r="K274" s="9">
        <v>2</v>
      </c>
      <c r="L274" s="9" t="s">
        <v>938</v>
      </c>
      <c r="M274" s="75">
        <v>24105000</v>
      </c>
      <c r="N274" s="78">
        <v>24840948</v>
      </c>
      <c r="O274" s="81">
        <v>10095767</v>
      </c>
    </row>
    <row r="275" spans="1:15" x14ac:dyDescent="0.25">
      <c r="B275" s="5" t="s">
        <v>351</v>
      </c>
      <c r="C275" s="5" t="s">
        <v>1526</v>
      </c>
      <c r="D275" s="6">
        <v>132523</v>
      </c>
      <c r="E275" s="6">
        <v>29477309</v>
      </c>
      <c r="F275" s="1">
        <v>4.4957631648126365E-3</v>
      </c>
      <c r="H275" s="32">
        <f t="shared" si="4"/>
        <v>0</v>
      </c>
      <c r="I275" s="9" t="s">
        <v>939</v>
      </c>
      <c r="J275" s="9">
        <v>0</v>
      </c>
      <c r="K275" s="9">
        <v>0</v>
      </c>
      <c r="L275" s="9" t="s">
        <v>940</v>
      </c>
      <c r="M275" s="75">
        <v>0</v>
      </c>
      <c r="N275" s="78">
        <v>312793</v>
      </c>
      <c r="O275" s="81">
        <v>132523</v>
      </c>
    </row>
    <row r="276" spans="1:15" x14ac:dyDescent="0.25">
      <c r="B276" s="5" t="s">
        <v>352</v>
      </c>
      <c r="C276" s="5" t="s">
        <v>2283</v>
      </c>
      <c r="D276" s="6">
        <v>21008</v>
      </c>
      <c r="E276" s="6">
        <v>7557878</v>
      </c>
      <c r="F276" s="1">
        <v>2.7796161832726062E-3</v>
      </c>
      <c r="H276" s="32">
        <f t="shared" si="4"/>
        <v>0</v>
      </c>
      <c r="I276" s="9" t="s">
        <v>939</v>
      </c>
      <c r="J276" s="9">
        <v>0</v>
      </c>
      <c r="K276" s="9">
        <v>0</v>
      </c>
      <c r="L276" s="9" t="s">
        <v>940</v>
      </c>
      <c r="M276" s="75">
        <v>0</v>
      </c>
      <c r="N276" s="78">
        <v>76322</v>
      </c>
      <c r="O276" s="81">
        <v>21008</v>
      </c>
    </row>
    <row r="277" spans="1:15" x14ac:dyDescent="0.25">
      <c r="A277" t="s">
        <v>1056</v>
      </c>
      <c r="B277" s="5" t="s">
        <v>353</v>
      </c>
      <c r="C277" s="5" t="s">
        <v>1057</v>
      </c>
      <c r="D277" s="6">
        <v>413072</v>
      </c>
      <c r="E277" s="6">
        <v>71958500</v>
      </c>
      <c r="F277" s="1">
        <v>5.7404198253159806E-3</v>
      </c>
      <c r="H277" s="32">
        <f t="shared" si="4"/>
        <v>2.4222294794916513E-2</v>
      </c>
      <c r="I277" s="9" t="s">
        <v>945</v>
      </c>
      <c r="J277" s="9">
        <v>3</v>
      </c>
      <c r="K277" s="9">
        <v>7</v>
      </c>
      <c r="L277" s="9" t="s">
        <v>938</v>
      </c>
      <c r="M277" s="75">
        <v>1743000</v>
      </c>
      <c r="N277" s="78">
        <v>803410</v>
      </c>
      <c r="O277" s="81">
        <v>413072</v>
      </c>
    </row>
    <row r="278" spans="1:15" x14ac:dyDescent="0.25">
      <c r="B278" s="5" t="s">
        <v>354</v>
      </c>
      <c r="C278" s="5" t="s">
        <v>1575</v>
      </c>
      <c r="D278" s="6">
        <v>210995</v>
      </c>
      <c r="E278" s="6">
        <v>27173800</v>
      </c>
      <c r="F278" s="1">
        <v>7.7646483009369315E-3</v>
      </c>
      <c r="H278" s="32">
        <f t="shared" si="4"/>
        <v>0</v>
      </c>
      <c r="I278" s="9" t="s">
        <v>939</v>
      </c>
      <c r="J278" s="9">
        <v>0</v>
      </c>
      <c r="K278" s="9">
        <v>0</v>
      </c>
      <c r="L278" s="9" t="s">
        <v>940</v>
      </c>
      <c r="M278" s="75">
        <v>0</v>
      </c>
      <c r="N278" s="78">
        <v>311440</v>
      </c>
      <c r="O278" s="81">
        <v>210995</v>
      </c>
    </row>
    <row r="279" spans="1:15" x14ac:dyDescent="0.25">
      <c r="B279" s="5" t="s">
        <v>355</v>
      </c>
      <c r="C279" s="5" t="s">
        <v>2284</v>
      </c>
      <c r="D279" s="6">
        <v>18297</v>
      </c>
      <c r="E279" s="6">
        <v>2835355</v>
      </c>
      <c r="F279" s="1">
        <v>6.4531601862906057E-3</v>
      </c>
      <c r="H279" s="32">
        <f t="shared" si="4"/>
        <v>0</v>
      </c>
      <c r="I279" s="9" t="s">
        <v>939</v>
      </c>
      <c r="J279" s="9">
        <v>0</v>
      </c>
      <c r="K279" s="9">
        <v>0</v>
      </c>
      <c r="L279" s="9" t="s">
        <v>940</v>
      </c>
      <c r="M279" s="75">
        <v>0</v>
      </c>
      <c r="N279" s="78">
        <v>31070</v>
      </c>
      <c r="O279" s="81">
        <v>18297</v>
      </c>
    </row>
    <row r="280" spans="1:15" x14ac:dyDescent="0.25">
      <c r="A280" t="s">
        <v>1058</v>
      </c>
      <c r="B280" s="5" t="s">
        <v>356</v>
      </c>
      <c r="C280" s="5" t="s">
        <v>1059</v>
      </c>
      <c r="D280" s="6">
        <v>179579</v>
      </c>
      <c r="E280" s="6">
        <v>12142478</v>
      </c>
      <c r="F280" s="1">
        <v>1.4789320598316093E-2</v>
      </c>
      <c r="H280" s="32">
        <f t="shared" si="4"/>
        <v>0</v>
      </c>
      <c r="I280" s="9" t="s">
        <v>939</v>
      </c>
      <c r="J280" s="9">
        <v>0</v>
      </c>
      <c r="K280" s="9">
        <v>0</v>
      </c>
      <c r="L280" s="9" t="s">
        <v>940</v>
      </c>
      <c r="M280" s="75">
        <v>0</v>
      </c>
      <c r="N280" s="78">
        <v>127669</v>
      </c>
      <c r="O280" s="81">
        <v>179579</v>
      </c>
    </row>
    <row r="281" spans="1:15" x14ac:dyDescent="0.25">
      <c r="B281" s="5" t="s">
        <v>357</v>
      </c>
      <c r="C281" s="5" t="s">
        <v>1930</v>
      </c>
      <c r="D281" s="6">
        <v>371928</v>
      </c>
      <c r="E281" s="6">
        <v>56453600</v>
      </c>
      <c r="F281" s="1">
        <v>6.5882069522581379E-3</v>
      </c>
      <c r="H281" s="32">
        <f t="shared" si="4"/>
        <v>0</v>
      </c>
      <c r="I281" s="9" t="s">
        <v>939</v>
      </c>
      <c r="J281" s="9">
        <v>0</v>
      </c>
      <c r="K281" s="9">
        <v>0</v>
      </c>
      <c r="L281" s="9" t="s">
        <v>940</v>
      </c>
      <c r="M281" s="75">
        <v>0</v>
      </c>
      <c r="N281" s="78">
        <v>564925</v>
      </c>
      <c r="O281" s="81">
        <v>371928</v>
      </c>
    </row>
    <row r="282" spans="1:15" x14ac:dyDescent="0.25">
      <c r="B282" s="5" t="s">
        <v>358</v>
      </c>
      <c r="C282" s="5" t="s">
        <v>1958</v>
      </c>
      <c r="D282" s="6">
        <v>117296</v>
      </c>
      <c r="E282" s="6">
        <v>7818700</v>
      </c>
      <c r="F282" s="1">
        <v>1.5001982426746134E-2</v>
      </c>
      <c r="H282" s="32">
        <f t="shared" si="4"/>
        <v>0</v>
      </c>
      <c r="I282" s="9" t="s">
        <v>939</v>
      </c>
      <c r="J282" s="9">
        <v>0</v>
      </c>
      <c r="K282" s="9">
        <v>0</v>
      </c>
      <c r="L282" s="9" t="s">
        <v>940</v>
      </c>
      <c r="M282" s="75">
        <v>0</v>
      </c>
      <c r="N282" s="78">
        <v>85968</v>
      </c>
      <c r="O282" s="81">
        <v>117296</v>
      </c>
    </row>
    <row r="283" spans="1:15" x14ac:dyDescent="0.25">
      <c r="B283" s="5" t="s">
        <v>359</v>
      </c>
      <c r="C283" s="5" t="s">
        <v>2285</v>
      </c>
      <c r="D283" s="6">
        <v>508007</v>
      </c>
      <c r="E283" s="6">
        <v>55563200</v>
      </c>
      <c r="F283" s="1">
        <v>9.1428679413712681E-3</v>
      </c>
      <c r="H283" s="32">
        <f t="shared" si="4"/>
        <v>0</v>
      </c>
      <c r="I283" s="9" t="s">
        <v>946</v>
      </c>
      <c r="J283" s="9">
        <v>3</v>
      </c>
      <c r="K283" s="9">
        <v>6</v>
      </c>
      <c r="L283" s="9" t="s">
        <v>938</v>
      </c>
      <c r="M283" s="75">
        <v>0</v>
      </c>
      <c r="N283" s="78">
        <v>680135</v>
      </c>
      <c r="O283" s="81">
        <v>508007</v>
      </c>
    </row>
    <row r="284" spans="1:15" x14ac:dyDescent="0.25">
      <c r="B284" s="5" t="s">
        <v>360</v>
      </c>
      <c r="C284" s="5" t="s">
        <v>1448</v>
      </c>
      <c r="D284" s="6">
        <v>13901551</v>
      </c>
      <c r="E284" s="6">
        <v>3144565172</v>
      </c>
      <c r="F284" s="1">
        <v>5.3712717263409288E-3</v>
      </c>
      <c r="H284" s="32">
        <f t="shared" si="4"/>
        <v>1.4149810090181842E-2</v>
      </c>
      <c r="I284" s="9" t="s">
        <v>939</v>
      </c>
      <c r="J284" s="9">
        <v>0</v>
      </c>
      <c r="K284" s="9">
        <v>0</v>
      </c>
      <c r="L284" s="9" t="s">
        <v>940</v>
      </c>
      <c r="M284" s="75">
        <v>44495000</v>
      </c>
      <c r="N284" s="78">
        <v>30941822</v>
      </c>
      <c r="O284" s="81">
        <v>13901551</v>
      </c>
    </row>
    <row r="285" spans="1:15" x14ac:dyDescent="0.25">
      <c r="B285" s="5" t="s">
        <v>361</v>
      </c>
      <c r="C285" s="5" t="s">
        <v>1838</v>
      </c>
      <c r="D285" s="6">
        <v>118454</v>
      </c>
      <c r="E285" s="6">
        <v>4938800</v>
      </c>
      <c r="F285" s="1">
        <v>2.3984368672552037E-2</v>
      </c>
      <c r="H285" s="32">
        <f t="shared" si="4"/>
        <v>0</v>
      </c>
      <c r="I285" s="9" t="s">
        <v>939</v>
      </c>
      <c r="J285" s="9">
        <v>0</v>
      </c>
      <c r="K285" s="9">
        <v>0</v>
      </c>
      <c r="L285" s="9" t="s">
        <v>940</v>
      </c>
      <c r="M285" s="75">
        <v>0</v>
      </c>
      <c r="N285" s="78">
        <v>56357</v>
      </c>
      <c r="O285" s="81">
        <v>118454</v>
      </c>
    </row>
    <row r="286" spans="1:15" x14ac:dyDescent="0.25">
      <c r="B286" s="5" t="s">
        <v>362</v>
      </c>
      <c r="C286" s="5" t="s">
        <v>1532</v>
      </c>
      <c r="D286" s="6">
        <v>459749</v>
      </c>
      <c r="E286" s="6">
        <v>47862722</v>
      </c>
      <c r="F286" s="1">
        <v>9.6055757129734493E-3</v>
      </c>
      <c r="H286" s="32">
        <f t="shared" si="4"/>
        <v>5.1814854992994338E-3</v>
      </c>
      <c r="I286" s="9" t="s">
        <v>946</v>
      </c>
      <c r="J286" s="9">
        <v>3</v>
      </c>
      <c r="K286" s="9">
        <v>6</v>
      </c>
      <c r="L286" s="9" t="s">
        <v>938</v>
      </c>
      <c r="M286" s="75">
        <v>248000</v>
      </c>
      <c r="N286" s="78">
        <v>512722</v>
      </c>
      <c r="O286" s="81">
        <v>459749</v>
      </c>
    </row>
    <row r="287" spans="1:15" x14ac:dyDescent="0.25">
      <c r="B287" s="5" t="s">
        <v>363</v>
      </c>
      <c r="C287" s="5" t="s">
        <v>2286</v>
      </c>
      <c r="D287" s="6">
        <v>1101</v>
      </c>
      <c r="E287" s="6">
        <v>639700</v>
      </c>
      <c r="F287" s="1">
        <v>1.7211192746599969E-3</v>
      </c>
      <c r="H287" s="32">
        <f t="shared" si="4"/>
        <v>0</v>
      </c>
      <c r="I287" s="9" t="s">
        <v>939</v>
      </c>
      <c r="J287" s="9">
        <v>0</v>
      </c>
      <c r="K287" s="9">
        <v>0</v>
      </c>
      <c r="L287" s="9" t="s">
        <v>940</v>
      </c>
      <c r="M287" s="75">
        <v>0</v>
      </c>
      <c r="N287" s="78">
        <v>6029</v>
      </c>
      <c r="O287" s="81">
        <v>1101</v>
      </c>
    </row>
    <row r="288" spans="1:15" x14ac:dyDescent="0.25">
      <c r="B288" s="5" t="s">
        <v>364</v>
      </c>
      <c r="C288" s="5" t="s">
        <v>1916</v>
      </c>
      <c r="D288" s="6">
        <v>159663</v>
      </c>
      <c r="E288" s="6">
        <v>22964491</v>
      </c>
      <c r="F288" s="1">
        <v>6.9526034781262954E-3</v>
      </c>
      <c r="H288" s="32">
        <f t="shared" si="4"/>
        <v>1.0973463335198677E-2</v>
      </c>
      <c r="I288" s="9" t="s">
        <v>939</v>
      </c>
      <c r="J288" s="9">
        <v>0</v>
      </c>
      <c r="K288" s="9">
        <v>0</v>
      </c>
      <c r="L288" s="9" t="s">
        <v>940</v>
      </c>
      <c r="M288" s="75">
        <v>252000</v>
      </c>
      <c r="N288" s="78">
        <v>283214</v>
      </c>
      <c r="O288" s="81">
        <v>159663</v>
      </c>
    </row>
    <row r="289" spans="1:15" x14ac:dyDescent="0.25">
      <c r="B289" s="5" t="s">
        <v>365</v>
      </c>
      <c r="C289" s="5" t="s">
        <v>2287</v>
      </c>
      <c r="D289" s="6">
        <v>228638</v>
      </c>
      <c r="E289" s="6">
        <v>20544505</v>
      </c>
      <c r="F289" s="1">
        <v>1.1128912572972676E-2</v>
      </c>
      <c r="H289" s="32">
        <f t="shared" si="4"/>
        <v>4.5754327008608875E-3</v>
      </c>
      <c r="I289" s="9" t="s">
        <v>939</v>
      </c>
      <c r="J289" s="9">
        <v>0</v>
      </c>
      <c r="K289" s="9">
        <v>0</v>
      </c>
      <c r="L289" s="9" t="s">
        <v>940</v>
      </c>
      <c r="M289" s="75">
        <v>94000</v>
      </c>
      <c r="N289" s="78">
        <v>281631</v>
      </c>
      <c r="O289" s="81">
        <v>228638</v>
      </c>
    </row>
    <row r="290" spans="1:15" x14ac:dyDescent="0.25">
      <c r="B290" s="5" t="s">
        <v>366</v>
      </c>
      <c r="C290" s="5" t="s">
        <v>1968</v>
      </c>
      <c r="D290" s="6">
        <v>69843</v>
      </c>
      <c r="E290" s="6">
        <v>2495707</v>
      </c>
      <c r="F290" s="1">
        <v>2.79852562820876E-2</v>
      </c>
      <c r="H290" s="32">
        <f t="shared" si="4"/>
        <v>0</v>
      </c>
      <c r="I290" s="9" t="s">
        <v>939</v>
      </c>
      <c r="J290" s="9">
        <v>0</v>
      </c>
      <c r="K290" s="9">
        <v>0</v>
      </c>
      <c r="L290" s="9" t="s">
        <v>940</v>
      </c>
      <c r="M290" s="75">
        <v>0</v>
      </c>
      <c r="N290" s="78">
        <v>30148</v>
      </c>
      <c r="O290" s="81">
        <v>69843</v>
      </c>
    </row>
    <row r="291" spans="1:15" x14ac:dyDescent="0.25">
      <c r="B291" s="5" t="s">
        <v>367</v>
      </c>
      <c r="C291" s="5" t="s">
        <v>1931</v>
      </c>
      <c r="D291" s="6">
        <v>56637</v>
      </c>
      <c r="E291" s="6">
        <v>6969131</v>
      </c>
      <c r="F291" s="1">
        <v>8.1268381954651154E-3</v>
      </c>
      <c r="H291" s="32">
        <f t="shared" si="4"/>
        <v>0</v>
      </c>
      <c r="I291" s="9" t="s">
        <v>939</v>
      </c>
      <c r="J291" s="9">
        <v>0</v>
      </c>
      <c r="K291" s="9">
        <v>0</v>
      </c>
      <c r="L291" s="9" t="s">
        <v>940</v>
      </c>
      <c r="M291" s="75">
        <v>0</v>
      </c>
      <c r="N291" s="78">
        <v>82001</v>
      </c>
      <c r="O291" s="81">
        <v>56637</v>
      </c>
    </row>
    <row r="292" spans="1:15" x14ac:dyDescent="0.25">
      <c r="B292" s="5" t="s">
        <v>368</v>
      </c>
      <c r="C292" s="5" t="s">
        <v>1640</v>
      </c>
      <c r="D292" s="6">
        <v>1598453</v>
      </c>
      <c r="E292" s="6">
        <v>122551119</v>
      </c>
      <c r="F292" s="1">
        <v>1.3043153037223594E-2</v>
      </c>
      <c r="H292" s="32">
        <f t="shared" si="4"/>
        <v>4.8626247141815161E-2</v>
      </c>
      <c r="I292" s="9" t="s">
        <v>942</v>
      </c>
      <c r="J292" s="9">
        <v>2</v>
      </c>
      <c r="K292" s="9">
        <v>4</v>
      </c>
      <c r="L292" s="9" t="s">
        <v>938</v>
      </c>
      <c r="M292" s="75">
        <v>5959201</v>
      </c>
      <c r="N292" s="78">
        <v>1384906</v>
      </c>
      <c r="O292" s="81">
        <v>1598453</v>
      </c>
    </row>
    <row r="293" spans="1:15" x14ac:dyDescent="0.25">
      <c r="B293" s="5" t="s">
        <v>369</v>
      </c>
      <c r="C293" s="5" t="s">
        <v>2288</v>
      </c>
      <c r="D293" s="6">
        <v>520740</v>
      </c>
      <c r="E293" s="6">
        <v>128578300</v>
      </c>
      <c r="F293" s="1">
        <v>4.1645829817317541E-3</v>
      </c>
      <c r="H293" s="32">
        <f t="shared" si="4"/>
        <v>8.2828906588436769E-3</v>
      </c>
      <c r="I293" s="9" t="s">
        <v>939</v>
      </c>
      <c r="J293" s="9">
        <v>0</v>
      </c>
      <c r="K293" s="9">
        <v>0</v>
      </c>
      <c r="L293" s="9" t="s">
        <v>940</v>
      </c>
      <c r="M293" s="75">
        <v>1065000</v>
      </c>
      <c r="N293" s="78">
        <v>1435797</v>
      </c>
      <c r="O293" s="81">
        <v>520740</v>
      </c>
    </row>
    <row r="294" spans="1:15" x14ac:dyDescent="0.25">
      <c r="B294" s="5" t="s">
        <v>370</v>
      </c>
      <c r="C294" s="5" t="s">
        <v>1734</v>
      </c>
      <c r="D294" s="6">
        <v>143484</v>
      </c>
      <c r="E294" s="6">
        <v>24196800</v>
      </c>
      <c r="F294" s="1">
        <v>5.9298750247966676E-3</v>
      </c>
      <c r="H294" s="32">
        <f t="shared" si="4"/>
        <v>0</v>
      </c>
      <c r="I294" s="9" t="s">
        <v>939</v>
      </c>
      <c r="J294" s="9">
        <v>0</v>
      </c>
      <c r="K294" s="9">
        <v>0</v>
      </c>
      <c r="L294" s="9" t="s">
        <v>940</v>
      </c>
      <c r="M294" s="75">
        <v>0</v>
      </c>
      <c r="N294" s="78">
        <v>258082</v>
      </c>
      <c r="O294" s="81">
        <v>143484</v>
      </c>
    </row>
    <row r="295" spans="1:15" x14ac:dyDescent="0.25">
      <c r="B295" s="5" t="s">
        <v>371</v>
      </c>
      <c r="C295" s="5" t="s">
        <v>2289</v>
      </c>
      <c r="D295" s="6">
        <v>14999</v>
      </c>
      <c r="E295" s="6">
        <v>7120600</v>
      </c>
      <c r="F295" s="1">
        <v>2.106423615987417E-3</v>
      </c>
      <c r="H295" s="32">
        <f t="shared" si="4"/>
        <v>0</v>
      </c>
      <c r="I295" s="9" t="s">
        <v>939</v>
      </c>
      <c r="J295" s="9">
        <v>0</v>
      </c>
      <c r="K295" s="9">
        <v>0</v>
      </c>
      <c r="L295" s="9" t="s">
        <v>940</v>
      </c>
      <c r="M295" s="75">
        <v>0</v>
      </c>
      <c r="N295" s="78">
        <v>103063</v>
      </c>
      <c r="O295" s="81">
        <v>14999</v>
      </c>
    </row>
    <row r="296" spans="1:15" x14ac:dyDescent="0.25">
      <c r="B296" s="5" t="s">
        <v>372</v>
      </c>
      <c r="C296" s="5" t="s">
        <v>1486</v>
      </c>
      <c r="D296" s="6">
        <v>20499</v>
      </c>
      <c r="E296" s="6">
        <v>4505400</v>
      </c>
      <c r="F296" s="1">
        <v>4.5498734851511522E-3</v>
      </c>
      <c r="H296" s="32">
        <f t="shared" si="4"/>
        <v>0</v>
      </c>
      <c r="I296" s="9" t="s">
        <v>939</v>
      </c>
      <c r="J296" s="9">
        <v>0</v>
      </c>
      <c r="K296" s="9">
        <v>0</v>
      </c>
      <c r="L296" s="9" t="s">
        <v>940</v>
      </c>
      <c r="M296" s="75">
        <v>0</v>
      </c>
      <c r="N296" s="78">
        <v>52711</v>
      </c>
      <c r="O296" s="81">
        <v>20499</v>
      </c>
    </row>
    <row r="297" spans="1:15" x14ac:dyDescent="0.25">
      <c r="B297" s="5" t="s">
        <v>373</v>
      </c>
      <c r="C297" s="5" t="s">
        <v>1978</v>
      </c>
      <c r="D297" s="6">
        <v>181973</v>
      </c>
      <c r="E297" s="6">
        <v>16771192</v>
      </c>
      <c r="F297" s="1">
        <v>1.0850331926317461E-2</v>
      </c>
      <c r="H297" s="32">
        <f t="shared" si="4"/>
        <v>0</v>
      </c>
      <c r="I297" s="9" t="s">
        <v>939</v>
      </c>
      <c r="J297" s="9">
        <v>0</v>
      </c>
      <c r="K297" s="9">
        <v>0</v>
      </c>
      <c r="L297" s="9" t="s">
        <v>940</v>
      </c>
      <c r="M297" s="75">
        <v>0</v>
      </c>
      <c r="N297" s="78">
        <v>133326</v>
      </c>
      <c r="O297" s="81">
        <v>181973</v>
      </c>
    </row>
    <row r="298" spans="1:15" x14ac:dyDescent="0.25">
      <c r="B298" s="5" t="s">
        <v>374</v>
      </c>
      <c r="C298" s="5" t="s">
        <v>1920</v>
      </c>
      <c r="D298" s="6">
        <v>479101</v>
      </c>
      <c r="E298" s="6">
        <v>27107465</v>
      </c>
      <c r="F298" s="1">
        <v>1.7674135150594125E-2</v>
      </c>
      <c r="H298" s="32">
        <f t="shared" si="4"/>
        <v>6.9353589500161669E-2</v>
      </c>
      <c r="I298" s="9" t="s">
        <v>937</v>
      </c>
      <c r="J298" s="9">
        <v>3</v>
      </c>
      <c r="K298" s="9">
        <v>5</v>
      </c>
      <c r="L298" s="9" t="s">
        <v>938</v>
      </c>
      <c r="M298" s="75">
        <v>1880000</v>
      </c>
      <c r="N298" s="78">
        <v>294706</v>
      </c>
      <c r="O298" s="81">
        <v>479101</v>
      </c>
    </row>
    <row r="299" spans="1:15" x14ac:dyDescent="0.25">
      <c r="A299" t="s">
        <v>1060</v>
      </c>
      <c r="B299" s="5" t="s">
        <v>375</v>
      </c>
      <c r="C299" s="5" t="s">
        <v>1061</v>
      </c>
      <c r="D299" s="6">
        <v>871259</v>
      </c>
      <c r="E299" s="6">
        <v>62149158</v>
      </c>
      <c r="F299" s="1">
        <v>1.8749425374355033E-2</v>
      </c>
      <c r="H299" s="32">
        <f t="shared" si="4"/>
        <v>7.4739548362022859E-2</v>
      </c>
      <c r="I299" s="9" t="s">
        <v>937</v>
      </c>
      <c r="J299" s="9">
        <v>3</v>
      </c>
      <c r="K299" s="9">
        <v>5</v>
      </c>
      <c r="L299" s="9" t="s">
        <v>938</v>
      </c>
      <c r="M299" s="75">
        <v>4645000</v>
      </c>
      <c r="N299" s="78">
        <v>646668</v>
      </c>
      <c r="O299" s="81">
        <v>871259</v>
      </c>
    </row>
    <row r="300" spans="1:15" x14ac:dyDescent="0.25">
      <c r="B300" s="5" t="s">
        <v>376</v>
      </c>
      <c r="C300" s="5" t="s">
        <v>2290</v>
      </c>
      <c r="D300" s="6">
        <v>39999</v>
      </c>
      <c r="E300" s="6">
        <v>15117100</v>
      </c>
      <c r="F300" s="1">
        <v>2.6459439971952292E-3</v>
      </c>
      <c r="H300" s="32">
        <f t="shared" si="4"/>
        <v>0</v>
      </c>
      <c r="I300" s="9" t="s">
        <v>939</v>
      </c>
      <c r="J300" s="9">
        <v>0</v>
      </c>
      <c r="K300" s="9">
        <v>0</v>
      </c>
      <c r="L300" s="9" t="s">
        <v>940</v>
      </c>
      <c r="M300" s="75">
        <v>0</v>
      </c>
      <c r="N300" s="78">
        <v>168086</v>
      </c>
      <c r="O300" s="81">
        <v>39999</v>
      </c>
    </row>
    <row r="301" spans="1:15" x14ac:dyDescent="0.25">
      <c r="B301" s="5" t="s">
        <v>377</v>
      </c>
      <c r="C301" s="5" t="s">
        <v>1514</v>
      </c>
      <c r="D301" s="6">
        <v>2876985</v>
      </c>
      <c r="E301" s="6">
        <v>346825900</v>
      </c>
      <c r="F301" s="1">
        <v>8.2951849905096471E-3</v>
      </c>
      <c r="H301" s="32">
        <f t="shared" si="4"/>
        <v>5.5099691228365586E-3</v>
      </c>
      <c r="I301" s="9" t="s">
        <v>939</v>
      </c>
      <c r="J301" s="9">
        <v>0</v>
      </c>
      <c r="K301" s="9">
        <v>0</v>
      </c>
      <c r="L301" s="9" t="s">
        <v>940</v>
      </c>
      <c r="M301" s="75">
        <v>1911000</v>
      </c>
      <c r="N301" s="78">
        <v>3876983</v>
      </c>
      <c r="O301" s="81">
        <v>2876985</v>
      </c>
    </row>
    <row r="302" spans="1:15" x14ac:dyDescent="0.25">
      <c r="B302" s="5" t="s">
        <v>378</v>
      </c>
      <c r="C302" s="5" t="s">
        <v>1735</v>
      </c>
      <c r="D302" s="6">
        <v>125013</v>
      </c>
      <c r="E302" s="6">
        <v>30437000</v>
      </c>
      <c r="F302" s="1">
        <v>4.1072707559877781E-3</v>
      </c>
      <c r="H302" s="32">
        <f t="shared" si="4"/>
        <v>0</v>
      </c>
      <c r="I302" s="9" t="s">
        <v>939</v>
      </c>
      <c r="J302" s="9">
        <v>0</v>
      </c>
      <c r="K302" s="9">
        <v>0</v>
      </c>
      <c r="L302" s="9" t="s">
        <v>940</v>
      </c>
      <c r="M302" s="75">
        <v>0</v>
      </c>
      <c r="N302" s="78">
        <v>396979</v>
      </c>
      <c r="O302" s="81">
        <v>125013</v>
      </c>
    </row>
    <row r="303" spans="1:15" x14ac:dyDescent="0.25">
      <c r="B303" s="5" t="s">
        <v>379</v>
      </c>
      <c r="C303" s="5" t="s">
        <v>1708</v>
      </c>
      <c r="D303" s="6">
        <v>1746576</v>
      </c>
      <c r="E303" s="6">
        <v>216813422</v>
      </c>
      <c r="F303" s="1">
        <v>8.055663638757567E-3</v>
      </c>
      <c r="H303" s="32">
        <f t="shared" si="4"/>
        <v>1.0279428180419568E-2</v>
      </c>
      <c r="I303" s="9" t="s">
        <v>942</v>
      </c>
      <c r="J303" s="9">
        <v>2</v>
      </c>
      <c r="K303" s="9">
        <v>4</v>
      </c>
      <c r="L303" s="9" t="s">
        <v>938</v>
      </c>
      <c r="M303" s="75">
        <v>2228718</v>
      </c>
      <c r="N303" s="78">
        <v>2560696</v>
      </c>
      <c r="O303" s="81">
        <v>1746576</v>
      </c>
    </row>
    <row r="304" spans="1:15" x14ac:dyDescent="0.25">
      <c r="B304" s="5" t="s">
        <v>380</v>
      </c>
      <c r="C304" s="5" t="s">
        <v>1484</v>
      </c>
      <c r="D304" s="6">
        <v>524618</v>
      </c>
      <c r="E304" s="6">
        <v>87734900</v>
      </c>
      <c r="F304" s="1">
        <v>5.9795816716038883E-3</v>
      </c>
      <c r="H304" s="32">
        <f t="shared" si="4"/>
        <v>9.5401031972453379E-2</v>
      </c>
      <c r="I304" s="9" t="s">
        <v>937</v>
      </c>
      <c r="J304" s="9">
        <v>3</v>
      </c>
      <c r="K304" s="9">
        <v>5</v>
      </c>
      <c r="L304" s="9" t="s">
        <v>938</v>
      </c>
      <c r="M304" s="75">
        <v>8370000</v>
      </c>
      <c r="N304" s="78">
        <v>965037</v>
      </c>
      <c r="O304" s="81">
        <v>524618</v>
      </c>
    </row>
    <row r="305" spans="1:15" x14ac:dyDescent="0.25">
      <c r="B305" s="5" t="s">
        <v>381</v>
      </c>
      <c r="C305" s="5" t="s">
        <v>2018</v>
      </c>
      <c r="D305" s="6">
        <v>24854722</v>
      </c>
      <c r="E305" s="6">
        <v>4325815780</v>
      </c>
      <c r="F305" s="1">
        <v>6.0360381319798139E-3</v>
      </c>
      <c r="H305" s="32">
        <f t="shared" si="4"/>
        <v>1.089967821052241E-3</v>
      </c>
      <c r="I305" s="9" t="s">
        <v>939</v>
      </c>
      <c r="J305" s="9">
        <v>0</v>
      </c>
      <c r="K305" s="9">
        <v>0</v>
      </c>
      <c r="L305" s="9" t="s">
        <v>940</v>
      </c>
      <c r="M305" s="75">
        <v>4715000</v>
      </c>
      <c r="N305" s="78">
        <v>47392938</v>
      </c>
      <c r="O305" s="81">
        <v>24854722</v>
      </c>
    </row>
    <row r="306" spans="1:15" x14ac:dyDescent="0.25">
      <c r="A306" t="s">
        <v>1062</v>
      </c>
      <c r="B306" s="5" t="s">
        <v>382</v>
      </c>
      <c r="C306" s="5" t="s">
        <v>1063</v>
      </c>
      <c r="D306" s="6">
        <v>124187</v>
      </c>
      <c r="E306" s="6">
        <v>7454900</v>
      </c>
      <c r="F306" s="1">
        <v>1.6658439415686326E-2</v>
      </c>
      <c r="H306" s="32">
        <f t="shared" si="4"/>
        <v>0</v>
      </c>
      <c r="I306" s="9" t="s">
        <v>939</v>
      </c>
      <c r="J306" s="9">
        <v>0</v>
      </c>
      <c r="K306" s="9">
        <v>0</v>
      </c>
      <c r="L306" s="9" t="s">
        <v>940</v>
      </c>
      <c r="M306" s="75">
        <v>0</v>
      </c>
      <c r="N306" s="78">
        <v>82565</v>
      </c>
      <c r="O306" s="81">
        <v>124187</v>
      </c>
    </row>
    <row r="307" spans="1:15" x14ac:dyDescent="0.25">
      <c r="B307" s="5" t="s">
        <v>383</v>
      </c>
      <c r="C307" s="5" t="s">
        <v>1567</v>
      </c>
      <c r="D307" s="6">
        <v>339059</v>
      </c>
      <c r="E307" s="6">
        <v>27710900</v>
      </c>
      <c r="F307" s="1">
        <v>1.2235582388157728E-2</v>
      </c>
      <c r="H307" s="32">
        <f t="shared" si="4"/>
        <v>0</v>
      </c>
      <c r="I307" s="9" t="s">
        <v>939</v>
      </c>
      <c r="J307" s="9">
        <v>0</v>
      </c>
      <c r="K307" s="9">
        <v>0</v>
      </c>
      <c r="L307" s="9" t="s">
        <v>940</v>
      </c>
      <c r="M307" s="75">
        <v>0</v>
      </c>
      <c r="N307" s="78">
        <v>292561</v>
      </c>
      <c r="O307" s="81">
        <v>339059</v>
      </c>
    </row>
    <row r="308" spans="1:15" x14ac:dyDescent="0.25">
      <c r="A308" t="s">
        <v>1064</v>
      </c>
      <c r="B308" s="5" t="s">
        <v>384</v>
      </c>
      <c r="C308" s="5" t="s">
        <v>1065</v>
      </c>
      <c r="D308" s="6">
        <v>547038</v>
      </c>
      <c r="E308" s="6">
        <v>84853700</v>
      </c>
      <c r="F308" s="1">
        <v>6.4468373211775095E-3</v>
      </c>
      <c r="H308" s="32">
        <f t="shared" si="4"/>
        <v>1.2397809406071863E-2</v>
      </c>
      <c r="I308" s="9" t="s">
        <v>942</v>
      </c>
      <c r="J308" s="9">
        <v>2</v>
      </c>
      <c r="K308" s="9">
        <v>4</v>
      </c>
      <c r="L308" s="9" t="s">
        <v>938</v>
      </c>
      <c r="M308" s="75">
        <v>1052000</v>
      </c>
      <c r="N308" s="78">
        <v>942545</v>
      </c>
      <c r="O308" s="81">
        <v>547038</v>
      </c>
    </row>
    <row r="309" spans="1:15" x14ac:dyDescent="0.25">
      <c r="B309" s="5" t="s">
        <v>385</v>
      </c>
      <c r="C309" s="5" t="s">
        <v>1688</v>
      </c>
      <c r="D309" s="6">
        <v>23093</v>
      </c>
      <c r="E309" s="6">
        <v>1721700</v>
      </c>
      <c r="F309" s="1">
        <v>1.3412905848870303E-2</v>
      </c>
      <c r="H309" s="32">
        <f t="shared" si="4"/>
        <v>0</v>
      </c>
      <c r="I309" s="9" t="s">
        <v>939</v>
      </c>
      <c r="J309" s="9">
        <v>0</v>
      </c>
      <c r="K309" s="9">
        <v>0</v>
      </c>
      <c r="L309" s="9" t="s">
        <v>940</v>
      </c>
      <c r="M309" s="75">
        <v>0</v>
      </c>
      <c r="N309" s="78">
        <v>18706</v>
      </c>
      <c r="O309" s="81">
        <v>23093</v>
      </c>
    </row>
    <row r="310" spans="1:15" x14ac:dyDescent="0.25">
      <c r="B310" s="5" t="s">
        <v>386</v>
      </c>
      <c r="C310" s="5" t="s">
        <v>2291</v>
      </c>
      <c r="D310" s="6">
        <v>1583090</v>
      </c>
      <c r="E310" s="6">
        <v>297843500</v>
      </c>
      <c r="F310" s="1">
        <v>5.3151739084452074E-3</v>
      </c>
      <c r="H310" s="32">
        <f t="shared" si="4"/>
        <v>3.9282374804217651E-3</v>
      </c>
      <c r="I310" s="9" t="s">
        <v>942</v>
      </c>
      <c r="J310" s="9">
        <v>2</v>
      </c>
      <c r="K310" s="9">
        <v>4</v>
      </c>
      <c r="L310" s="9"/>
      <c r="M310" s="75">
        <v>1170000</v>
      </c>
      <c r="N310" s="78">
        <v>3611725</v>
      </c>
      <c r="O310" s="81">
        <v>1583090</v>
      </c>
    </row>
    <row r="311" spans="1:15" x14ac:dyDescent="0.25">
      <c r="B311" s="5" t="s">
        <v>387</v>
      </c>
      <c r="C311" s="5" t="s">
        <v>1471</v>
      </c>
      <c r="D311" s="6">
        <v>219993</v>
      </c>
      <c r="E311" s="6">
        <v>19383114</v>
      </c>
      <c r="F311" s="1">
        <v>1.1349724301265525E-2</v>
      </c>
      <c r="H311" s="32">
        <f t="shared" si="4"/>
        <v>0</v>
      </c>
      <c r="I311" s="9" t="s">
        <v>939</v>
      </c>
      <c r="J311" s="9">
        <v>0</v>
      </c>
      <c r="K311" s="9">
        <v>0</v>
      </c>
      <c r="L311" s="9" t="s">
        <v>940</v>
      </c>
      <c r="M311" s="75">
        <v>0</v>
      </c>
      <c r="N311" s="78">
        <v>219403</v>
      </c>
      <c r="O311" s="81">
        <v>219993</v>
      </c>
    </row>
    <row r="312" spans="1:15" x14ac:dyDescent="0.25">
      <c r="B312" s="5" t="s">
        <v>388</v>
      </c>
      <c r="C312" s="5" t="s">
        <v>1504</v>
      </c>
      <c r="D312" s="6">
        <v>41231</v>
      </c>
      <c r="E312" s="6">
        <v>8035200</v>
      </c>
      <c r="F312" s="1">
        <v>5.1312972919155715E-3</v>
      </c>
      <c r="H312" s="32">
        <f t="shared" si="4"/>
        <v>0</v>
      </c>
      <c r="I312" s="9" t="s">
        <v>939</v>
      </c>
      <c r="J312" s="9">
        <v>0</v>
      </c>
      <c r="K312" s="9">
        <v>0</v>
      </c>
      <c r="L312" s="9" t="s">
        <v>940</v>
      </c>
      <c r="M312" s="75">
        <v>0</v>
      </c>
      <c r="N312" s="78">
        <v>82062</v>
      </c>
      <c r="O312" s="81">
        <v>41231</v>
      </c>
    </row>
    <row r="313" spans="1:15" x14ac:dyDescent="0.25">
      <c r="B313" s="5" t="s">
        <v>389</v>
      </c>
      <c r="C313" s="5" t="s">
        <v>1783</v>
      </c>
      <c r="D313" s="6">
        <v>968084</v>
      </c>
      <c r="E313" s="6">
        <v>193943817</v>
      </c>
      <c r="F313" s="1">
        <v>5.1089898885510743E-3</v>
      </c>
      <c r="H313" s="32">
        <f t="shared" si="4"/>
        <v>8.7138637680828981E-3</v>
      </c>
      <c r="I313" s="9" t="s">
        <v>943</v>
      </c>
      <c r="J313" s="9">
        <v>2</v>
      </c>
      <c r="K313" s="9">
        <v>3</v>
      </c>
      <c r="L313" s="9" t="s">
        <v>938</v>
      </c>
      <c r="M313" s="75">
        <v>1690000</v>
      </c>
      <c r="N313" s="78">
        <v>2105717</v>
      </c>
      <c r="O313" s="81">
        <v>968084</v>
      </c>
    </row>
    <row r="314" spans="1:15" x14ac:dyDescent="0.25">
      <c r="B314" s="5" t="s">
        <v>390</v>
      </c>
      <c r="C314" s="5" t="s">
        <v>1745</v>
      </c>
      <c r="D314" s="6">
        <v>486487</v>
      </c>
      <c r="E314" s="6">
        <v>54773400</v>
      </c>
      <c r="F314" s="1">
        <v>8.8818112441440555E-3</v>
      </c>
      <c r="H314" s="32">
        <f t="shared" si="4"/>
        <v>1.9790628297677339E-2</v>
      </c>
      <c r="I314" s="9" t="s">
        <v>939</v>
      </c>
      <c r="J314" s="9">
        <v>0</v>
      </c>
      <c r="K314" s="9">
        <v>0</v>
      </c>
      <c r="L314" s="9" t="s">
        <v>940</v>
      </c>
      <c r="M314" s="75">
        <v>1084000</v>
      </c>
      <c r="N314" s="78">
        <v>552515</v>
      </c>
      <c r="O314" s="81">
        <v>486487</v>
      </c>
    </row>
    <row r="315" spans="1:15" x14ac:dyDescent="0.25">
      <c r="B315" s="5" t="s">
        <v>391</v>
      </c>
      <c r="C315" s="5" t="s">
        <v>1787</v>
      </c>
      <c r="D315" s="6">
        <v>7398719</v>
      </c>
      <c r="E315" s="6">
        <v>772232839</v>
      </c>
      <c r="F315" s="1">
        <v>1.0477786739136588E-2</v>
      </c>
      <c r="H315" s="32">
        <f t="shared" si="4"/>
        <v>1.4710589120647329E-2</v>
      </c>
      <c r="I315" s="9" t="s">
        <v>942</v>
      </c>
      <c r="J315" s="9">
        <v>2</v>
      </c>
      <c r="K315" s="9">
        <v>4</v>
      </c>
      <c r="L315" s="9" t="s">
        <v>938</v>
      </c>
      <c r="M315" s="75">
        <v>11360000</v>
      </c>
      <c r="N315" s="78">
        <v>8784789</v>
      </c>
      <c r="O315" s="81">
        <v>7398719</v>
      </c>
    </row>
    <row r="316" spans="1:15" x14ac:dyDescent="0.25">
      <c r="B316" s="5" t="s">
        <v>392</v>
      </c>
      <c r="C316" s="5" t="s">
        <v>1899</v>
      </c>
      <c r="D316" s="6">
        <v>2112360</v>
      </c>
      <c r="E316" s="6">
        <v>148473567</v>
      </c>
      <c r="F316" s="1">
        <v>1.4227178902491108E-2</v>
      </c>
      <c r="H316" s="32">
        <f t="shared" si="4"/>
        <v>6.7352056006036412E-4</v>
      </c>
      <c r="I316" s="9" t="s">
        <v>946</v>
      </c>
      <c r="J316" s="9">
        <v>3</v>
      </c>
      <c r="K316" s="9">
        <v>6</v>
      </c>
      <c r="L316" s="9" t="s">
        <v>938</v>
      </c>
      <c r="M316" s="75">
        <v>100000</v>
      </c>
      <c r="N316" s="78">
        <v>1920021</v>
      </c>
      <c r="O316" s="81">
        <v>2112360</v>
      </c>
    </row>
    <row r="317" spans="1:15" x14ac:dyDescent="0.25">
      <c r="B317" s="5" t="s">
        <v>393</v>
      </c>
      <c r="C317" s="5" t="s">
        <v>2292</v>
      </c>
      <c r="D317" s="6">
        <v>1280064</v>
      </c>
      <c r="E317" s="6">
        <v>902910700</v>
      </c>
      <c r="F317" s="1">
        <v>1.4637660180569351E-3</v>
      </c>
      <c r="H317" s="32">
        <f t="shared" si="4"/>
        <v>0</v>
      </c>
      <c r="I317" s="9" t="s">
        <v>939</v>
      </c>
      <c r="J317" s="9">
        <v>0</v>
      </c>
      <c r="K317" s="9">
        <v>0</v>
      </c>
      <c r="L317" s="9" t="s">
        <v>940</v>
      </c>
      <c r="M317" s="75">
        <v>0</v>
      </c>
      <c r="N317" s="78">
        <v>9405879</v>
      </c>
      <c r="O317" s="81">
        <v>1280064</v>
      </c>
    </row>
    <row r="318" spans="1:15" x14ac:dyDescent="0.25">
      <c r="B318" s="5" t="s">
        <v>394</v>
      </c>
      <c r="C318" s="5" t="s">
        <v>2293</v>
      </c>
      <c r="D318" s="6">
        <v>13801</v>
      </c>
      <c r="E318" s="6">
        <v>7389000</v>
      </c>
      <c r="F318" s="1">
        <v>1.8677764244146705E-3</v>
      </c>
      <c r="H318" s="32">
        <f t="shared" si="4"/>
        <v>0</v>
      </c>
      <c r="I318" s="9" t="s">
        <v>939</v>
      </c>
      <c r="J318" s="9">
        <v>0</v>
      </c>
      <c r="K318" s="9">
        <v>0</v>
      </c>
      <c r="L318" s="9" t="s">
        <v>940</v>
      </c>
      <c r="M318" s="75">
        <v>0</v>
      </c>
      <c r="N318" s="78">
        <v>78938</v>
      </c>
      <c r="O318" s="81">
        <v>13801</v>
      </c>
    </row>
    <row r="319" spans="1:15" x14ac:dyDescent="0.25">
      <c r="B319" s="5" t="s">
        <v>395</v>
      </c>
      <c r="C319" s="5" t="s">
        <v>1749</v>
      </c>
      <c r="D319" s="6">
        <v>622333</v>
      </c>
      <c r="E319" s="6">
        <v>36936133</v>
      </c>
      <c r="F319" s="1">
        <v>1.6848894279214339E-2</v>
      </c>
      <c r="H319" s="32">
        <f t="shared" si="4"/>
        <v>0</v>
      </c>
      <c r="I319" s="9" t="s">
        <v>939</v>
      </c>
      <c r="J319" s="9">
        <v>0</v>
      </c>
      <c r="K319" s="9">
        <v>0</v>
      </c>
      <c r="L319" s="9" t="s">
        <v>940</v>
      </c>
      <c r="M319" s="75">
        <v>0</v>
      </c>
      <c r="N319" s="78">
        <v>402516</v>
      </c>
      <c r="O319" s="81">
        <v>622333</v>
      </c>
    </row>
    <row r="320" spans="1:15" s="29" customFormat="1" x14ac:dyDescent="0.25">
      <c r="A320" s="29" t="s">
        <v>1066</v>
      </c>
      <c r="B320" s="49" t="s">
        <v>1438</v>
      </c>
      <c r="C320" s="5" t="s">
        <v>1067</v>
      </c>
      <c r="D320" s="50"/>
      <c r="E320" s="50"/>
      <c r="F320" s="51"/>
      <c r="G320" s="17"/>
      <c r="H320" s="52"/>
      <c r="I320" s="53"/>
      <c r="J320" s="53"/>
      <c r="K320" s="53"/>
      <c r="L320" s="53"/>
      <c r="M320" s="76"/>
      <c r="N320" s="76"/>
      <c r="O320" s="82"/>
    </row>
    <row r="321" spans="1:15" x14ac:dyDescent="0.25">
      <c r="B321" s="5" t="s">
        <v>396</v>
      </c>
      <c r="C321" s="5" t="s">
        <v>1888</v>
      </c>
      <c r="D321" s="6">
        <v>328149</v>
      </c>
      <c r="E321" s="6">
        <v>27700200</v>
      </c>
      <c r="F321" s="1">
        <v>1.18464487621028E-2</v>
      </c>
      <c r="H321" s="32">
        <f t="shared" si="4"/>
        <v>0</v>
      </c>
      <c r="I321" s="9" t="s">
        <v>939</v>
      </c>
      <c r="J321" s="9">
        <v>0</v>
      </c>
      <c r="K321" s="9">
        <v>0</v>
      </c>
      <c r="L321" s="9" t="s">
        <v>940</v>
      </c>
      <c r="M321" s="75">
        <v>0</v>
      </c>
      <c r="N321" s="78">
        <v>329374</v>
      </c>
      <c r="O321" s="81">
        <v>328149</v>
      </c>
    </row>
    <row r="322" spans="1:15" x14ac:dyDescent="0.25">
      <c r="A322" s="41" t="s">
        <v>1130</v>
      </c>
      <c r="B322" s="42" t="s">
        <v>397</v>
      </c>
      <c r="C322" s="5" t="s">
        <v>1131</v>
      </c>
      <c r="D322" s="6">
        <v>1908906</v>
      </c>
      <c r="E322" s="6">
        <v>532196016</v>
      </c>
      <c r="F322" s="1">
        <v>3.7969262062269929E-3</v>
      </c>
      <c r="H322" s="32">
        <f t="shared" si="4"/>
        <v>0</v>
      </c>
      <c r="I322" s="9" t="s">
        <v>943</v>
      </c>
      <c r="J322" s="9">
        <v>2</v>
      </c>
      <c r="K322" s="9">
        <v>3</v>
      </c>
      <c r="L322" s="9" t="s">
        <v>938</v>
      </c>
      <c r="M322" s="75">
        <v>0</v>
      </c>
      <c r="N322" s="78">
        <v>5430138</v>
      </c>
      <c r="O322" s="81">
        <v>1908906</v>
      </c>
    </row>
    <row r="323" spans="1:15" x14ac:dyDescent="0.25">
      <c r="B323" s="5" t="s">
        <v>398</v>
      </c>
      <c r="C323" s="5" t="s">
        <v>2294</v>
      </c>
      <c r="D323" s="6">
        <v>40003</v>
      </c>
      <c r="E323" s="6">
        <v>11889400</v>
      </c>
      <c r="F323" s="1">
        <v>3.3645936716739282E-3</v>
      </c>
      <c r="H323" s="32">
        <f t="shared" si="4"/>
        <v>9.6002321395528799E-3</v>
      </c>
      <c r="I323" s="9" t="s">
        <v>939</v>
      </c>
      <c r="J323" s="9">
        <v>0</v>
      </c>
      <c r="K323" s="9">
        <v>0</v>
      </c>
      <c r="L323" s="9" t="s">
        <v>940</v>
      </c>
      <c r="M323" s="75">
        <v>114141</v>
      </c>
      <c r="N323" s="78">
        <v>123059</v>
      </c>
      <c r="O323" s="81">
        <v>40003</v>
      </c>
    </row>
    <row r="324" spans="1:15" x14ac:dyDescent="0.25">
      <c r="B324" s="5" t="s">
        <v>399</v>
      </c>
      <c r="C324" s="5" t="s">
        <v>2295</v>
      </c>
      <c r="D324" s="6">
        <v>632880</v>
      </c>
      <c r="E324" s="6">
        <v>402625190</v>
      </c>
      <c r="F324" s="1">
        <v>1.5800153984404206E-3</v>
      </c>
      <c r="H324" s="32">
        <f t="shared" si="4"/>
        <v>0</v>
      </c>
      <c r="I324" s="9" t="s">
        <v>939</v>
      </c>
      <c r="J324" s="9">
        <v>0</v>
      </c>
      <c r="K324" s="9">
        <v>0</v>
      </c>
      <c r="L324" s="9" t="s">
        <v>940</v>
      </c>
      <c r="M324" s="75">
        <v>0</v>
      </c>
      <c r="N324" s="78">
        <v>4646361</v>
      </c>
      <c r="O324" s="81">
        <v>632880</v>
      </c>
    </row>
    <row r="325" spans="1:15" x14ac:dyDescent="0.25">
      <c r="B325" s="5" t="s">
        <v>400</v>
      </c>
      <c r="C325" s="5" t="s">
        <v>1559</v>
      </c>
      <c r="D325" s="6">
        <v>119046</v>
      </c>
      <c r="E325" s="6">
        <v>19243561</v>
      </c>
      <c r="F325" s="1">
        <v>6.1862770617143051E-3</v>
      </c>
      <c r="H325" s="32">
        <f t="shared" ref="H325:H388" si="5">M325/E325</f>
        <v>1.1640257226819922E-2</v>
      </c>
      <c r="I325" s="9" t="s">
        <v>939</v>
      </c>
      <c r="J325" s="9">
        <v>0</v>
      </c>
      <c r="K325" s="9">
        <v>0</v>
      </c>
      <c r="L325" s="9" t="s">
        <v>940</v>
      </c>
      <c r="M325" s="75">
        <v>224000</v>
      </c>
      <c r="N325" s="78">
        <v>211496</v>
      </c>
      <c r="O325" s="81">
        <v>119046</v>
      </c>
    </row>
    <row r="326" spans="1:15" x14ac:dyDescent="0.25">
      <c r="A326" t="s">
        <v>1068</v>
      </c>
      <c r="B326" s="5" t="s">
        <v>401</v>
      </c>
      <c r="C326" s="5" t="s">
        <v>1069</v>
      </c>
      <c r="D326" s="6">
        <v>214140</v>
      </c>
      <c r="E326" s="6">
        <v>20527668</v>
      </c>
      <c r="F326" s="1">
        <v>1.0431774325266758E-2</v>
      </c>
      <c r="H326" s="32">
        <f t="shared" si="5"/>
        <v>0.10074208137037291</v>
      </c>
      <c r="I326" s="9" t="s">
        <v>939</v>
      </c>
      <c r="J326" s="9">
        <v>0</v>
      </c>
      <c r="K326" s="9">
        <v>0</v>
      </c>
      <c r="L326" s="9" t="s">
        <v>940</v>
      </c>
      <c r="M326" s="75">
        <v>2068000</v>
      </c>
      <c r="N326" s="78">
        <v>226778</v>
      </c>
      <c r="O326" s="81">
        <v>214140</v>
      </c>
    </row>
    <row r="327" spans="1:15" x14ac:dyDescent="0.25">
      <c r="B327" s="5" t="s">
        <v>402</v>
      </c>
      <c r="C327" s="5" t="s">
        <v>1768</v>
      </c>
      <c r="D327" s="6">
        <v>76421</v>
      </c>
      <c r="E327" s="6">
        <v>5785614</v>
      </c>
      <c r="F327" s="1">
        <v>1.3208796853713366E-2</v>
      </c>
      <c r="H327" s="32">
        <f t="shared" si="5"/>
        <v>0</v>
      </c>
      <c r="I327" s="9" t="s">
        <v>939</v>
      </c>
      <c r="J327" s="9">
        <v>0</v>
      </c>
      <c r="K327" s="9">
        <v>0</v>
      </c>
      <c r="L327" s="9" t="s">
        <v>940</v>
      </c>
      <c r="M327" s="75">
        <v>0</v>
      </c>
      <c r="N327" s="78">
        <v>73662</v>
      </c>
      <c r="O327" s="81">
        <v>76421</v>
      </c>
    </row>
    <row r="328" spans="1:15" x14ac:dyDescent="0.25">
      <c r="B328" s="5" t="s">
        <v>403</v>
      </c>
      <c r="C328" s="5" t="s">
        <v>2296</v>
      </c>
      <c r="D328" s="6">
        <v>13644</v>
      </c>
      <c r="E328" s="6">
        <v>2655700</v>
      </c>
      <c r="F328" s="1">
        <v>5.1376284971947133E-3</v>
      </c>
      <c r="H328" s="32">
        <f t="shared" si="5"/>
        <v>0</v>
      </c>
      <c r="I328" s="9" t="s">
        <v>939</v>
      </c>
      <c r="J328" s="9">
        <v>0</v>
      </c>
      <c r="K328" s="9">
        <v>0</v>
      </c>
      <c r="L328" s="9" t="s">
        <v>940</v>
      </c>
      <c r="M328" s="75">
        <v>0</v>
      </c>
      <c r="N328" s="78">
        <v>36434</v>
      </c>
      <c r="O328" s="81">
        <v>13644</v>
      </c>
    </row>
    <row r="329" spans="1:15" x14ac:dyDescent="0.25">
      <c r="B329" s="5" t="s">
        <v>404</v>
      </c>
      <c r="C329" s="5" t="s">
        <v>1912</v>
      </c>
      <c r="D329" s="6">
        <v>236434</v>
      </c>
      <c r="E329" s="6">
        <v>36239561</v>
      </c>
      <c r="F329" s="1">
        <v>6.5241960298580877E-3</v>
      </c>
      <c r="H329" s="32">
        <f t="shared" si="5"/>
        <v>0</v>
      </c>
      <c r="I329" s="9" t="s">
        <v>939</v>
      </c>
      <c r="J329" s="9">
        <v>0</v>
      </c>
      <c r="K329" s="9">
        <v>0</v>
      </c>
      <c r="L329" s="9" t="s">
        <v>940</v>
      </c>
      <c r="M329" s="75">
        <v>0</v>
      </c>
      <c r="N329" s="78">
        <v>446140</v>
      </c>
      <c r="O329" s="81">
        <v>236434</v>
      </c>
    </row>
    <row r="330" spans="1:15" x14ac:dyDescent="0.25">
      <c r="B330" s="5" t="s">
        <v>405</v>
      </c>
      <c r="C330" s="5" t="s">
        <v>1880</v>
      </c>
      <c r="D330" s="6">
        <v>40002</v>
      </c>
      <c r="E330" s="6">
        <v>4256051</v>
      </c>
      <c r="F330" s="1">
        <v>9.3988535381742365E-3</v>
      </c>
      <c r="H330" s="32">
        <f t="shared" si="5"/>
        <v>0</v>
      </c>
      <c r="I330" s="9" t="s">
        <v>939</v>
      </c>
      <c r="J330" s="9">
        <v>0</v>
      </c>
      <c r="K330" s="9">
        <v>0</v>
      </c>
      <c r="L330" s="9" t="s">
        <v>940</v>
      </c>
      <c r="M330" s="75">
        <v>0</v>
      </c>
      <c r="N330" s="78">
        <v>58267</v>
      </c>
      <c r="O330" s="81">
        <v>40002</v>
      </c>
    </row>
    <row r="331" spans="1:15" x14ac:dyDescent="0.25">
      <c r="B331" s="5" t="s">
        <v>406</v>
      </c>
      <c r="C331" s="5" t="s">
        <v>2008</v>
      </c>
      <c r="D331" s="6">
        <v>480229</v>
      </c>
      <c r="E331" s="6">
        <v>38930200</v>
      </c>
      <c r="F331" s="1">
        <v>1.2335641738290581E-2</v>
      </c>
      <c r="H331" s="32">
        <f t="shared" si="5"/>
        <v>5.7282007284832851E-3</v>
      </c>
      <c r="I331" s="9" t="s">
        <v>937</v>
      </c>
      <c r="J331" s="9">
        <v>3</v>
      </c>
      <c r="K331" s="9">
        <v>5</v>
      </c>
      <c r="L331" s="9" t="s">
        <v>938</v>
      </c>
      <c r="M331" s="75">
        <v>223000</v>
      </c>
      <c r="N331" s="78">
        <v>444901</v>
      </c>
      <c r="O331" s="81">
        <v>480229</v>
      </c>
    </row>
    <row r="332" spans="1:15" x14ac:dyDescent="0.25">
      <c r="B332" s="5" t="s">
        <v>407</v>
      </c>
      <c r="C332" s="5" t="s">
        <v>2297</v>
      </c>
      <c r="D332" s="6">
        <v>15779</v>
      </c>
      <c r="E332" s="6">
        <v>1440100</v>
      </c>
      <c r="F332" s="1">
        <v>1.0956877994583709E-2</v>
      </c>
      <c r="H332" s="32">
        <f t="shared" si="5"/>
        <v>0</v>
      </c>
      <c r="I332" s="9" t="s">
        <v>939</v>
      </c>
      <c r="J332" s="9">
        <v>0</v>
      </c>
      <c r="K332" s="9">
        <v>0</v>
      </c>
      <c r="L332" s="9" t="s">
        <v>940</v>
      </c>
      <c r="M332" s="75">
        <v>0</v>
      </c>
      <c r="N332" s="78">
        <v>17449</v>
      </c>
      <c r="O332" s="81">
        <v>15779</v>
      </c>
    </row>
    <row r="333" spans="1:15" x14ac:dyDescent="0.25">
      <c r="B333" s="5" t="s">
        <v>408</v>
      </c>
      <c r="C333" s="5" t="s">
        <v>1492</v>
      </c>
      <c r="D333" s="6">
        <v>219014</v>
      </c>
      <c r="E333" s="6">
        <v>17132184</v>
      </c>
      <c r="F333" s="1">
        <v>1.2783775845508079E-2</v>
      </c>
      <c r="H333" s="32">
        <f t="shared" si="5"/>
        <v>0</v>
      </c>
      <c r="I333" s="9" t="s">
        <v>939</v>
      </c>
      <c r="J333" s="9">
        <v>0</v>
      </c>
      <c r="K333" s="9">
        <v>0</v>
      </c>
      <c r="L333" s="9" t="s">
        <v>940</v>
      </c>
      <c r="M333" s="75">
        <v>0</v>
      </c>
      <c r="N333" s="78">
        <v>189949</v>
      </c>
      <c r="O333" s="81">
        <v>219014</v>
      </c>
    </row>
    <row r="334" spans="1:15" x14ac:dyDescent="0.25">
      <c r="B334" s="5" t="s">
        <v>409</v>
      </c>
      <c r="C334" s="5" t="s">
        <v>2298</v>
      </c>
      <c r="D334" s="6">
        <v>4664427</v>
      </c>
      <c r="E334" s="6">
        <v>2073425096</v>
      </c>
      <c r="F334" s="1">
        <v>2.5166855605571392E-3</v>
      </c>
      <c r="H334" s="32">
        <f t="shared" si="5"/>
        <v>4.3406439023828619E-4</v>
      </c>
      <c r="I334" s="9" t="s">
        <v>941</v>
      </c>
      <c r="J334" s="9">
        <v>2</v>
      </c>
      <c r="K334" s="9">
        <v>2</v>
      </c>
      <c r="L334" s="9" t="s">
        <v>938</v>
      </c>
      <c r="M334" s="75">
        <v>900000</v>
      </c>
      <c r="N334" s="78">
        <v>21246983</v>
      </c>
      <c r="O334" s="81">
        <v>4664427</v>
      </c>
    </row>
    <row r="335" spans="1:15" x14ac:dyDescent="0.25">
      <c r="B335" s="5" t="s">
        <v>410</v>
      </c>
      <c r="C335" s="5" t="s">
        <v>1830</v>
      </c>
      <c r="D335" s="6">
        <v>353875</v>
      </c>
      <c r="E335" s="6">
        <v>32713200</v>
      </c>
      <c r="F335" s="1">
        <v>1.5867050609539881E-2</v>
      </c>
      <c r="H335" s="32">
        <f t="shared" si="5"/>
        <v>0</v>
      </c>
      <c r="I335" s="9" t="s">
        <v>939</v>
      </c>
      <c r="J335" s="9">
        <v>0</v>
      </c>
      <c r="K335" s="9">
        <v>0</v>
      </c>
      <c r="L335" s="9" t="s">
        <v>940</v>
      </c>
      <c r="M335" s="75">
        <v>0</v>
      </c>
      <c r="N335" s="78">
        <v>333108</v>
      </c>
      <c r="O335" s="81">
        <v>353875</v>
      </c>
    </row>
    <row r="336" spans="1:15" x14ac:dyDescent="0.25">
      <c r="B336" s="5" t="s">
        <v>411</v>
      </c>
      <c r="C336" s="5" t="s">
        <v>1555</v>
      </c>
      <c r="D336" s="6">
        <v>26401</v>
      </c>
      <c r="E336" s="6">
        <v>3792400</v>
      </c>
      <c r="F336" s="1">
        <v>6.9615546883240167E-3</v>
      </c>
      <c r="H336" s="32">
        <f t="shared" si="5"/>
        <v>0</v>
      </c>
      <c r="I336" s="9" t="s">
        <v>939</v>
      </c>
      <c r="J336" s="9">
        <v>0</v>
      </c>
      <c r="K336" s="9">
        <v>0</v>
      </c>
      <c r="L336" s="9" t="s">
        <v>940</v>
      </c>
      <c r="M336" s="75">
        <v>0</v>
      </c>
      <c r="N336" s="78">
        <v>41130</v>
      </c>
      <c r="O336" s="81">
        <v>26401</v>
      </c>
    </row>
    <row r="337" spans="1:15" x14ac:dyDescent="0.25">
      <c r="B337" s="5" t="s">
        <v>412</v>
      </c>
      <c r="C337" s="5" t="s">
        <v>1724</v>
      </c>
      <c r="D337" s="6">
        <v>248943</v>
      </c>
      <c r="E337" s="6">
        <v>64245306</v>
      </c>
      <c r="F337" s="1">
        <v>4.9404231960541991E-3</v>
      </c>
      <c r="H337" s="32">
        <f t="shared" si="5"/>
        <v>0</v>
      </c>
      <c r="I337" s="9" t="s">
        <v>939</v>
      </c>
      <c r="J337" s="9">
        <v>0</v>
      </c>
      <c r="K337" s="9">
        <v>0</v>
      </c>
      <c r="L337" s="9" t="s">
        <v>940</v>
      </c>
      <c r="M337" s="75">
        <v>0</v>
      </c>
      <c r="N337" s="78">
        <v>656483</v>
      </c>
      <c r="O337" s="81">
        <v>248943</v>
      </c>
    </row>
    <row r="338" spans="1:15" x14ac:dyDescent="0.25">
      <c r="B338" s="5" t="s">
        <v>413</v>
      </c>
      <c r="C338" s="5" t="s">
        <v>1500</v>
      </c>
      <c r="D338" s="6">
        <v>325237</v>
      </c>
      <c r="E338" s="6">
        <v>20673897</v>
      </c>
      <c r="F338" s="1">
        <v>1.5731770357567322E-2</v>
      </c>
      <c r="H338" s="32">
        <f t="shared" si="5"/>
        <v>0</v>
      </c>
      <c r="I338" s="9" t="s">
        <v>937</v>
      </c>
      <c r="J338" s="9">
        <v>3</v>
      </c>
      <c r="K338" s="9">
        <v>5</v>
      </c>
      <c r="L338" s="9" t="s">
        <v>938</v>
      </c>
      <c r="M338" s="75">
        <v>0</v>
      </c>
      <c r="N338" s="78">
        <v>238436</v>
      </c>
      <c r="O338" s="81">
        <v>325237</v>
      </c>
    </row>
    <row r="339" spans="1:15" x14ac:dyDescent="0.25">
      <c r="B339" s="5" t="s">
        <v>414</v>
      </c>
      <c r="C339" s="5" t="s">
        <v>1533</v>
      </c>
      <c r="D339" s="6">
        <v>134991</v>
      </c>
      <c r="E339" s="6">
        <v>4627545</v>
      </c>
      <c r="F339" s="1">
        <v>2.9171191203975325E-2</v>
      </c>
      <c r="H339" s="32">
        <f t="shared" si="5"/>
        <v>0</v>
      </c>
      <c r="I339" s="9" t="s">
        <v>939</v>
      </c>
      <c r="J339" s="9">
        <v>0</v>
      </c>
      <c r="K339" s="9">
        <v>0</v>
      </c>
      <c r="L339" s="9" t="s">
        <v>940</v>
      </c>
      <c r="M339" s="75">
        <v>0</v>
      </c>
      <c r="N339" s="78">
        <v>53358</v>
      </c>
      <c r="O339" s="81">
        <v>134991</v>
      </c>
    </row>
    <row r="340" spans="1:15" x14ac:dyDescent="0.25">
      <c r="B340" s="5" t="s">
        <v>415</v>
      </c>
      <c r="C340" s="5" t="s">
        <v>2299</v>
      </c>
      <c r="D340" s="6">
        <v>1873163</v>
      </c>
      <c r="E340" s="6">
        <v>385434140</v>
      </c>
      <c r="F340" s="1">
        <v>4.997460785388653E-3</v>
      </c>
      <c r="H340" s="32">
        <f t="shared" si="5"/>
        <v>0</v>
      </c>
      <c r="I340" s="9" t="s">
        <v>939</v>
      </c>
      <c r="J340" s="9">
        <v>0</v>
      </c>
      <c r="K340" s="9">
        <v>0</v>
      </c>
      <c r="L340" s="9" t="s">
        <v>940</v>
      </c>
      <c r="M340" s="75">
        <v>0</v>
      </c>
      <c r="N340" s="78">
        <v>4029081</v>
      </c>
      <c r="O340" s="81">
        <v>1873163</v>
      </c>
    </row>
    <row r="341" spans="1:15" x14ac:dyDescent="0.25">
      <c r="B341" s="5" t="s">
        <v>416</v>
      </c>
      <c r="C341" s="5" t="s">
        <v>1588</v>
      </c>
      <c r="D341" s="6">
        <v>193339</v>
      </c>
      <c r="E341" s="6">
        <v>10497400</v>
      </c>
      <c r="F341" s="1">
        <v>1.8417798693009697E-2</v>
      </c>
      <c r="H341" s="32">
        <f t="shared" si="5"/>
        <v>0</v>
      </c>
      <c r="I341" s="9" t="s">
        <v>939</v>
      </c>
      <c r="J341" s="9">
        <v>0</v>
      </c>
      <c r="K341" s="9">
        <v>0</v>
      </c>
      <c r="L341" s="9" t="s">
        <v>940</v>
      </c>
      <c r="M341" s="75">
        <v>0</v>
      </c>
      <c r="N341" s="78">
        <v>114980</v>
      </c>
      <c r="O341" s="81">
        <v>193339</v>
      </c>
    </row>
    <row r="342" spans="1:15" x14ac:dyDescent="0.25">
      <c r="B342" s="5" t="s">
        <v>417</v>
      </c>
      <c r="C342" s="5" t="s">
        <v>2300</v>
      </c>
      <c r="D342" s="6">
        <v>15601</v>
      </c>
      <c r="E342" s="6">
        <v>7884500</v>
      </c>
      <c r="F342" s="1">
        <v>1.9786923711078699E-3</v>
      </c>
      <c r="H342" s="32">
        <f t="shared" si="5"/>
        <v>0</v>
      </c>
      <c r="I342" s="9" t="s">
        <v>939</v>
      </c>
      <c r="J342" s="9">
        <v>0</v>
      </c>
      <c r="K342" s="9">
        <v>0</v>
      </c>
      <c r="L342" s="9" t="s">
        <v>940</v>
      </c>
      <c r="M342" s="75">
        <v>0</v>
      </c>
      <c r="N342" s="78">
        <v>68661</v>
      </c>
      <c r="O342" s="81">
        <v>15601</v>
      </c>
    </row>
    <row r="343" spans="1:15" x14ac:dyDescent="0.25">
      <c r="B343" s="5" t="s">
        <v>418</v>
      </c>
      <c r="C343" s="5" t="s">
        <v>1980</v>
      </c>
      <c r="D343" s="6">
        <v>58778</v>
      </c>
      <c r="E343" s="6">
        <v>11416082</v>
      </c>
      <c r="F343" s="1">
        <v>5.1487016298586499E-3</v>
      </c>
      <c r="H343" s="32">
        <f t="shared" si="5"/>
        <v>0</v>
      </c>
      <c r="I343" s="9" t="s">
        <v>939</v>
      </c>
      <c r="J343" s="9">
        <v>0</v>
      </c>
      <c r="K343" s="9">
        <v>0</v>
      </c>
      <c r="L343" s="9" t="s">
        <v>940</v>
      </c>
      <c r="M343" s="75">
        <v>0</v>
      </c>
      <c r="N343" s="78">
        <v>113781</v>
      </c>
      <c r="O343" s="81">
        <v>58778</v>
      </c>
    </row>
    <row r="344" spans="1:15" x14ac:dyDescent="0.25">
      <c r="A344" t="s">
        <v>1070</v>
      </c>
      <c r="B344" s="5" t="s">
        <v>419</v>
      </c>
      <c r="C344" s="5" t="s">
        <v>1071</v>
      </c>
      <c r="D344" s="6">
        <v>775353</v>
      </c>
      <c r="E344" s="6">
        <v>67343500</v>
      </c>
      <c r="F344" s="1">
        <v>1.1513405154172266E-2</v>
      </c>
      <c r="H344" s="32">
        <f t="shared" si="5"/>
        <v>7.1276366687208115E-4</v>
      </c>
      <c r="I344" s="9" t="s">
        <v>939</v>
      </c>
      <c r="J344" s="9">
        <v>0</v>
      </c>
      <c r="K344" s="9">
        <v>0</v>
      </c>
      <c r="L344" s="9" t="s">
        <v>940</v>
      </c>
      <c r="M344" s="75">
        <v>48000</v>
      </c>
      <c r="N344" s="78">
        <v>783048</v>
      </c>
      <c r="O344" s="81">
        <v>775353</v>
      </c>
    </row>
    <row r="345" spans="1:15" x14ac:dyDescent="0.25">
      <c r="B345" s="5" t="s">
        <v>420</v>
      </c>
      <c r="C345" s="5" t="s">
        <v>1860</v>
      </c>
      <c r="D345" s="6">
        <v>559002</v>
      </c>
      <c r="E345" s="6">
        <v>127325100</v>
      </c>
      <c r="F345" s="1">
        <v>4.3903519416046014E-3</v>
      </c>
      <c r="H345" s="32">
        <f t="shared" si="5"/>
        <v>0</v>
      </c>
      <c r="I345" s="9" t="s">
        <v>939</v>
      </c>
      <c r="J345" s="9">
        <v>0</v>
      </c>
      <c r="K345" s="9">
        <v>0</v>
      </c>
      <c r="L345" s="9" t="s">
        <v>940</v>
      </c>
      <c r="M345" s="75">
        <v>0</v>
      </c>
      <c r="N345" s="78">
        <v>1322686</v>
      </c>
      <c r="O345" s="81">
        <v>559002</v>
      </c>
    </row>
    <row r="346" spans="1:15" x14ac:dyDescent="0.25">
      <c r="B346" s="5" t="s">
        <v>421</v>
      </c>
      <c r="C346" s="5" t="s">
        <v>1878</v>
      </c>
      <c r="D346" s="6">
        <v>151391</v>
      </c>
      <c r="E346" s="6">
        <v>12028600</v>
      </c>
      <c r="F346" s="1">
        <v>1.2585920223467403E-2</v>
      </c>
      <c r="H346" s="32">
        <f t="shared" si="5"/>
        <v>0</v>
      </c>
      <c r="I346" s="9" t="s">
        <v>939</v>
      </c>
      <c r="J346" s="9">
        <v>0</v>
      </c>
      <c r="K346" s="9">
        <v>0</v>
      </c>
      <c r="L346" s="9" t="s">
        <v>940</v>
      </c>
      <c r="M346" s="75">
        <v>0</v>
      </c>
      <c r="N346" s="78">
        <v>138984</v>
      </c>
      <c r="O346" s="81">
        <v>151391</v>
      </c>
    </row>
    <row r="347" spans="1:15" x14ac:dyDescent="0.25">
      <c r="B347" s="5" t="s">
        <v>422</v>
      </c>
      <c r="C347" s="5" t="s">
        <v>1680</v>
      </c>
      <c r="D347" s="6">
        <v>12662638</v>
      </c>
      <c r="E347" s="6">
        <v>2118773796</v>
      </c>
      <c r="F347" s="1">
        <v>7.2283346286957763E-3</v>
      </c>
      <c r="H347" s="32">
        <f t="shared" si="5"/>
        <v>1.7604522044976244E-3</v>
      </c>
      <c r="I347" s="9" t="s">
        <v>943</v>
      </c>
      <c r="J347" s="9">
        <v>2</v>
      </c>
      <c r="K347" s="9">
        <v>3</v>
      </c>
      <c r="L347" s="9" t="s">
        <v>938</v>
      </c>
      <c r="M347" s="75">
        <v>3730000</v>
      </c>
      <c r="N347" s="78">
        <v>22076817</v>
      </c>
      <c r="O347" s="81">
        <v>12662638</v>
      </c>
    </row>
    <row r="348" spans="1:15" x14ac:dyDescent="0.25">
      <c r="B348" s="5" t="s">
        <v>423</v>
      </c>
      <c r="C348" s="5" t="s">
        <v>2200</v>
      </c>
      <c r="D348" s="6">
        <v>17003</v>
      </c>
      <c r="E348" s="6">
        <v>12643434</v>
      </c>
      <c r="F348" s="1">
        <v>1.344808696751215E-3</v>
      </c>
      <c r="H348" s="32">
        <f t="shared" si="5"/>
        <v>0</v>
      </c>
      <c r="I348" s="9" t="s">
        <v>939</v>
      </c>
      <c r="J348" s="9">
        <v>0</v>
      </c>
      <c r="K348" s="9">
        <v>0</v>
      </c>
      <c r="L348" s="9" t="s">
        <v>940</v>
      </c>
      <c r="M348" s="75">
        <v>0</v>
      </c>
      <c r="N348" s="78">
        <v>85378</v>
      </c>
      <c r="O348" s="81">
        <v>17003</v>
      </c>
    </row>
    <row r="349" spans="1:15" x14ac:dyDescent="0.25">
      <c r="A349" t="s">
        <v>1072</v>
      </c>
      <c r="B349" s="5" t="s">
        <v>424</v>
      </c>
      <c r="C349" s="5" t="s">
        <v>1073</v>
      </c>
      <c r="D349" s="6">
        <v>695994</v>
      </c>
      <c r="E349" s="6">
        <v>159908200</v>
      </c>
      <c r="F349" s="1">
        <v>4.3524597237665106E-3</v>
      </c>
      <c r="H349" s="32">
        <f t="shared" si="5"/>
        <v>0</v>
      </c>
      <c r="I349" s="9" t="s">
        <v>943</v>
      </c>
      <c r="J349" s="9">
        <v>2</v>
      </c>
      <c r="K349" s="9">
        <v>3</v>
      </c>
      <c r="L349" s="9" t="s">
        <v>938</v>
      </c>
      <c r="M349" s="75">
        <v>0</v>
      </c>
      <c r="N349" s="78">
        <v>1677536</v>
      </c>
      <c r="O349" s="81">
        <v>695994</v>
      </c>
    </row>
    <row r="350" spans="1:15" x14ac:dyDescent="0.25">
      <c r="A350" t="s">
        <v>1074</v>
      </c>
      <c r="B350" s="5" t="s">
        <v>425</v>
      </c>
      <c r="C350" s="5" t="s">
        <v>1075</v>
      </c>
      <c r="D350" s="6">
        <v>857058</v>
      </c>
      <c r="E350" s="6">
        <v>78594100</v>
      </c>
      <c r="F350" s="1">
        <v>1.0904864360047383E-2</v>
      </c>
      <c r="H350" s="32">
        <f t="shared" si="5"/>
        <v>0</v>
      </c>
      <c r="I350" s="9" t="s">
        <v>946</v>
      </c>
      <c r="J350" s="9">
        <v>3</v>
      </c>
      <c r="K350" s="9">
        <v>6</v>
      </c>
      <c r="L350" s="9" t="s">
        <v>938</v>
      </c>
      <c r="M350" s="75">
        <v>0</v>
      </c>
      <c r="N350" s="78">
        <v>859402</v>
      </c>
      <c r="O350" s="81">
        <v>857058</v>
      </c>
    </row>
    <row r="351" spans="1:15" x14ac:dyDescent="0.25">
      <c r="B351" s="5" t="s">
        <v>426</v>
      </c>
      <c r="C351" s="5" t="s">
        <v>1736</v>
      </c>
      <c r="D351" s="6">
        <v>190619</v>
      </c>
      <c r="E351" s="6">
        <v>11933100</v>
      </c>
      <c r="F351" s="1">
        <v>1.5973971558103092E-2</v>
      </c>
      <c r="H351" s="32">
        <f t="shared" si="5"/>
        <v>0</v>
      </c>
      <c r="I351" s="9" t="s">
        <v>939</v>
      </c>
      <c r="J351" s="9">
        <v>0</v>
      </c>
      <c r="K351" s="9">
        <v>0</v>
      </c>
      <c r="L351" s="9" t="s">
        <v>940</v>
      </c>
      <c r="M351" s="75">
        <v>0</v>
      </c>
      <c r="N351" s="78">
        <v>144605</v>
      </c>
      <c r="O351" s="81">
        <v>190619</v>
      </c>
    </row>
    <row r="352" spans="1:15" x14ac:dyDescent="0.25">
      <c r="B352" s="5" t="s">
        <v>427</v>
      </c>
      <c r="C352" s="5" t="s">
        <v>1999</v>
      </c>
      <c r="D352" s="6">
        <v>14002</v>
      </c>
      <c r="E352" s="6">
        <v>3632709</v>
      </c>
      <c r="F352" s="1">
        <v>3.8544237922718281E-3</v>
      </c>
      <c r="H352" s="32">
        <f t="shared" si="5"/>
        <v>1.6021101607643223E-2</v>
      </c>
      <c r="I352" s="9" t="s">
        <v>939</v>
      </c>
      <c r="J352" s="9">
        <v>0</v>
      </c>
      <c r="K352" s="9">
        <v>0</v>
      </c>
      <c r="L352" s="9" t="s">
        <v>940</v>
      </c>
      <c r="M352" s="75">
        <v>58200</v>
      </c>
      <c r="N352" s="78">
        <v>33017</v>
      </c>
      <c r="O352" s="81">
        <v>14002</v>
      </c>
    </row>
    <row r="353" spans="1:15" x14ac:dyDescent="0.25">
      <c r="A353" t="s">
        <v>1076</v>
      </c>
      <c r="B353" s="5" t="s">
        <v>428</v>
      </c>
      <c r="C353" s="5" t="s">
        <v>1077</v>
      </c>
      <c r="D353" s="6">
        <v>860994</v>
      </c>
      <c r="E353" s="6">
        <v>45158594</v>
      </c>
      <c r="F353" s="1">
        <v>1.9066005465094862E-2</v>
      </c>
      <c r="H353" s="32">
        <f t="shared" si="5"/>
        <v>0</v>
      </c>
      <c r="I353" s="9" t="s">
        <v>939</v>
      </c>
      <c r="J353" s="9">
        <v>0</v>
      </c>
      <c r="K353" s="9">
        <v>0</v>
      </c>
      <c r="L353" s="9" t="s">
        <v>940</v>
      </c>
      <c r="M353" s="75">
        <v>0</v>
      </c>
      <c r="N353" s="78">
        <v>537454</v>
      </c>
      <c r="O353" s="81">
        <v>860994</v>
      </c>
    </row>
    <row r="354" spans="1:15" x14ac:dyDescent="0.25">
      <c r="B354" s="5" t="s">
        <v>429</v>
      </c>
      <c r="C354" s="5" t="s">
        <v>2301</v>
      </c>
      <c r="D354" s="6">
        <v>32001</v>
      </c>
      <c r="E354" s="6">
        <v>12769700</v>
      </c>
      <c r="F354" s="1">
        <v>2.5060103213074701E-3</v>
      </c>
      <c r="H354" s="32">
        <f t="shared" si="5"/>
        <v>0</v>
      </c>
      <c r="I354" s="9" t="s">
        <v>939</v>
      </c>
      <c r="J354" s="9">
        <v>0</v>
      </c>
      <c r="K354" s="9">
        <v>0</v>
      </c>
      <c r="L354" s="9" t="s">
        <v>940</v>
      </c>
      <c r="M354" s="75">
        <v>0</v>
      </c>
      <c r="N354" s="78">
        <v>131417</v>
      </c>
      <c r="O354" s="81">
        <v>32001</v>
      </c>
    </row>
    <row r="355" spans="1:15" x14ac:dyDescent="0.25">
      <c r="B355" s="5" t="s">
        <v>430</v>
      </c>
      <c r="C355" s="5" t="s">
        <v>1782</v>
      </c>
      <c r="D355" s="6">
        <v>537050</v>
      </c>
      <c r="E355" s="6">
        <v>62860770</v>
      </c>
      <c r="F355" s="1">
        <v>8.5434842748505942E-3</v>
      </c>
      <c r="H355" s="32">
        <f t="shared" si="5"/>
        <v>8.7494951143614694E-3</v>
      </c>
      <c r="I355" s="9" t="s">
        <v>939</v>
      </c>
      <c r="J355" s="9">
        <v>0</v>
      </c>
      <c r="K355" s="9">
        <v>0</v>
      </c>
      <c r="L355" s="9" t="s">
        <v>940</v>
      </c>
      <c r="M355" s="75">
        <v>550000</v>
      </c>
      <c r="N355" s="78">
        <v>660248</v>
      </c>
      <c r="O355" s="81">
        <v>537050</v>
      </c>
    </row>
    <row r="356" spans="1:15" x14ac:dyDescent="0.25">
      <c r="B356" s="5" t="s">
        <v>431</v>
      </c>
      <c r="C356" s="5" t="s">
        <v>1990</v>
      </c>
      <c r="D356" s="6">
        <v>322779</v>
      </c>
      <c r="E356" s="6">
        <v>28954147</v>
      </c>
      <c r="F356" s="1">
        <v>1.114793677050821E-2</v>
      </c>
      <c r="H356" s="32">
        <f t="shared" si="5"/>
        <v>1.0361210088489224E-2</v>
      </c>
      <c r="I356" s="9" t="s">
        <v>939</v>
      </c>
      <c r="J356" s="9">
        <v>0</v>
      </c>
      <c r="K356" s="9">
        <v>0</v>
      </c>
      <c r="L356" s="9" t="s">
        <v>940</v>
      </c>
      <c r="M356" s="75">
        <v>300000</v>
      </c>
      <c r="N356" s="78">
        <v>273283</v>
      </c>
      <c r="O356" s="81">
        <v>322779</v>
      </c>
    </row>
    <row r="357" spans="1:15" x14ac:dyDescent="0.25">
      <c r="B357" s="5" t="s">
        <v>432</v>
      </c>
      <c r="C357" s="5" t="s">
        <v>1493</v>
      </c>
      <c r="D357" s="6">
        <v>131539</v>
      </c>
      <c r="E357" s="6">
        <v>8709460</v>
      </c>
      <c r="F357" s="1">
        <v>1.5103002941628987E-2</v>
      </c>
      <c r="H357" s="32">
        <f t="shared" si="5"/>
        <v>1.3318850996502653E-2</v>
      </c>
      <c r="I357" s="9" t="s">
        <v>939</v>
      </c>
      <c r="J357" s="9">
        <v>0</v>
      </c>
      <c r="K357" s="9">
        <v>0</v>
      </c>
      <c r="L357" s="9" t="s">
        <v>940</v>
      </c>
      <c r="M357" s="75">
        <v>116000</v>
      </c>
      <c r="N357" s="78">
        <v>86773</v>
      </c>
      <c r="O357" s="81">
        <v>131539</v>
      </c>
    </row>
    <row r="358" spans="1:15" x14ac:dyDescent="0.25">
      <c r="B358" s="5" t="s">
        <v>433</v>
      </c>
      <c r="C358" s="5" t="s">
        <v>1683</v>
      </c>
      <c r="D358" s="6">
        <v>212079</v>
      </c>
      <c r="E358" s="6">
        <v>31886100</v>
      </c>
      <c r="F358" s="1">
        <v>6.6511426609086721E-3</v>
      </c>
      <c r="H358" s="32">
        <f t="shared" si="5"/>
        <v>4.4681224734288609E-3</v>
      </c>
      <c r="I358" s="9" t="s">
        <v>939</v>
      </c>
      <c r="J358" s="9">
        <v>0</v>
      </c>
      <c r="K358" s="9">
        <v>0</v>
      </c>
      <c r="L358" s="9" t="s">
        <v>940</v>
      </c>
      <c r="M358" s="75">
        <v>142471</v>
      </c>
      <c r="N358" s="78">
        <v>332357</v>
      </c>
      <c r="O358" s="81">
        <v>212079</v>
      </c>
    </row>
    <row r="359" spans="1:15" x14ac:dyDescent="0.25">
      <c r="B359" s="5" t="s">
        <v>434</v>
      </c>
      <c r="C359" s="5" t="s">
        <v>2302</v>
      </c>
      <c r="D359" s="6">
        <v>24193</v>
      </c>
      <c r="E359" s="6">
        <v>2360100</v>
      </c>
      <c r="F359" s="1">
        <v>1.0250836828947925E-2</v>
      </c>
      <c r="H359" s="32">
        <f t="shared" si="5"/>
        <v>0</v>
      </c>
      <c r="I359" s="9" t="s">
        <v>939</v>
      </c>
      <c r="J359" s="9">
        <v>0</v>
      </c>
      <c r="K359" s="9">
        <v>0</v>
      </c>
      <c r="L359" s="9" t="s">
        <v>940</v>
      </c>
      <c r="M359" s="75">
        <v>0</v>
      </c>
      <c r="N359" s="78">
        <v>27587</v>
      </c>
      <c r="O359" s="81">
        <v>24193</v>
      </c>
    </row>
    <row r="360" spans="1:15" x14ac:dyDescent="0.25">
      <c r="B360" s="5" t="s">
        <v>435</v>
      </c>
      <c r="C360" s="5" t="s">
        <v>1904</v>
      </c>
      <c r="D360" s="6">
        <v>268649</v>
      </c>
      <c r="E360" s="6">
        <v>17512257</v>
      </c>
      <c r="F360" s="1">
        <v>1.534062685352322E-2</v>
      </c>
      <c r="H360" s="32">
        <f t="shared" si="5"/>
        <v>0</v>
      </c>
      <c r="I360" s="9" t="s">
        <v>939</v>
      </c>
      <c r="J360" s="9">
        <v>0</v>
      </c>
      <c r="K360" s="9">
        <v>0</v>
      </c>
      <c r="L360" s="9" t="s">
        <v>940</v>
      </c>
      <c r="M360" s="75">
        <v>0</v>
      </c>
      <c r="N360" s="78">
        <v>226883</v>
      </c>
      <c r="O360" s="81">
        <v>268649</v>
      </c>
    </row>
    <row r="361" spans="1:15" x14ac:dyDescent="0.25">
      <c r="B361" s="5" t="s">
        <v>436</v>
      </c>
      <c r="C361" s="5" t="s">
        <v>1992</v>
      </c>
      <c r="D361" s="6">
        <v>6502870</v>
      </c>
      <c r="E361" s="6">
        <v>1160975339</v>
      </c>
      <c r="F361" s="1">
        <v>5.6012128609047055E-3</v>
      </c>
      <c r="H361" s="32">
        <f t="shared" si="5"/>
        <v>2.2567232153757229E-2</v>
      </c>
      <c r="I361" s="9" t="s">
        <v>943</v>
      </c>
      <c r="J361" s="9">
        <v>2</v>
      </c>
      <c r="K361" s="9">
        <v>3</v>
      </c>
      <c r="L361" s="9" t="s">
        <v>938</v>
      </c>
      <c r="M361" s="75">
        <v>26200000</v>
      </c>
      <c r="N361" s="78">
        <v>14612822</v>
      </c>
      <c r="O361" s="81">
        <v>6502870</v>
      </c>
    </row>
    <row r="362" spans="1:15" x14ac:dyDescent="0.25">
      <c r="B362" s="5" t="s">
        <v>437</v>
      </c>
      <c r="C362" s="5" t="s">
        <v>2001</v>
      </c>
      <c r="D362" s="6">
        <v>261160</v>
      </c>
      <c r="E362" s="6">
        <v>32995800</v>
      </c>
      <c r="F362" s="1">
        <v>7.9149467507985873E-3</v>
      </c>
      <c r="H362" s="32">
        <f t="shared" si="5"/>
        <v>0</v>
      </c>
      <c r="I362" s="9" t="s">
        <v>942</v>
      </c>
      <c r="J362" s="9">
        <v>2</v>
      </c>
      <c r="K362" s="9">
        <v>4</v>
      </c>
      <c r="L362" s="9" t="s">
        <v>938</v>
      </c>
      <c r="M362" s="75">
        <v>0</v>
      </c>
      <c r="N362" s="78">
        <v>484009</v>
      </c>
      <c r="O362" s="81">
        <v>261160</v>
      </c>
    </row>
    <row r="363" spans="1:15" x14ac:dyDescent="0.25">
      <c r="B363" s="5" t="s">
        <v>438</v>
      </c>
      <c r="C363" s="5" t="s">
        <v>1560</v>
      </c>
      <c r="D363" s="6">
        <v>70998</v>
      </c>
      <c r="E363" s="6">
        <v>6742702</v>
      </c>
      <c r="F363" s="1">
        <v>1.0529606676967186E-2</v>
      </c>
      <c r="H363" s="32">
        <f t="shared" si="5"/>
        <v>1.3347764738824287E-3</v>
      </c>
      <c r="I363" s="9" t="s">
        <v>939</v>
      </c>
      <c r="J363" s="9">
        <v>0</v>
      </c>
      <c r="K363" s="9">
        <v>0</v>
      </c>
      <c r="L363" s="9" t="s">
        <v>940</v>
      </c>
      <c r="M363" s="75">
        <v>9000</v>
      </c>
      <c r="N363" s="78">
        <v>67074</v>
      </c>
      <c r="O363" s="81">
        <v>70998</v>
      </c>
    </row>
    <row r="364" spans="1:15" x14ac:dyDescent="0.25">
      <c r="A364" t="s">
        <v>1078</v>
      </c>
      <c r="B364" s="5" t="s">
        <v>439</v>
      </c>
      <c r="C364" s="5" t="s">
        <v>1079</v>
      </c>
      <c r="D364" s="6">
        <v>7254367</v>
      </c>
      <c r="E364" s="6">
        <v>713497359</v>
      </c>
      <c r="F364" s="1">
        <v>1.22916040113892E-2</v>
      </c>
      <c r="H364" s="32">
        <f t="shared" si="5"/>
        <v>4.7442362011602063E-3</v>
      </c>
      <c r="I364" s="9" t="s">
        <v>943</v>
      </c>
      <c r="J364" s="9">
        <v>2</v>
      </c>
      <c r="K364" s="9">
        <v>3</v>
      </c>
      <c r="L364" s="9" t="s">
        <v>938</v>
      </c>
      <c r="M364" s="75">
        <v>3385000</v>
      </c>
      <c r="N364" s="78">
        <v>7724189</v>
      </c>
      <c r="O364" s="81">
        <v>7254367</v>
      </c>
    </row>
    <row r="365" spans="1:15" x14ac:dyDescent="0.25">
      <c r="B365" s="5" t="s">
        <v>440</v>
      </c>
      <c r="C365" s="5" t="s">
        <v>1628</v>
      </c>
      <c r="D365" s="6">
        <v>243516</v>
      </c>
      <c r="E365" s="6">
        <v>26735657</v>
      </c>
      <c r="F365" s="1">
        <v>9.1082856127305944E-3</v>
      </c>
      <c r="H365" s="32">
        <f t="shared" si="5"/>
        <v>0</v>
      </c>
      <c r="I365" s="9" t="s">
        <v>939</v>
      </c>
      <c r="J365" s="9">
        <v>0</v>
      </c>
      <c r="K365" s="9">
        <v>0</v>
      </c>
      <c r="L365" s="9" t="s">
        <v>940</v>
      </c>
      <c r="M365" s="75">
        <v>0</v>
      </c>
      <c r="N365" s="78">
        <v>290933</v>
      </c>
      <c r="O365" s="81">
        <v>243516</v>
      </c>
    </row>
    <row r="366" spans="1:15" x14ac:dyDescent="0.25">
      <c r="B366" s="5" t="s">
        <v>441</v>
      </c>
      <c r="C366" s="5" t="s">
        <v>2303</v>
      </c>
      <c r="D366" s="6">
        <v>4453</v>
      </c>
      <c r="E366" s="6">
        <v>1510100</v>
      </c>
      <c r="F366" s="1">
        <v>2.9488113369975496E-3</v>
      </c>
      <c r="H366" s="32">
        <f t="shared" si="5"/>
        <v>0</v>
      </c>
      <c r="I366" s="9" t="s">
        <v>939</v>
      </c>
      <c r="J366" s="9">
        <v>0</v>
      </c>
      <c r="K366" s="9">
        <v>0</v>
      </c>
      <c r="L366" s="9" t="s">
        <v>940</v>
      </c>
      <c r="M366" s="75">
        <v>0</v>
      </c>
      <c r="N366" s="78">
        <v>14301</v>
      </c>
      <c r="O366" s="81">
        <v>4453</v>
      </c>
    </row>
    <row r="367" spans="1:15" x14ac:dyDescent="0.25">
      <c r="B367" s="5" t="s">
        <v>442</v>
      </c>
      <c r="C367" s="5" t="s">
        <v>1947</v>
      </c>
      <c r="D367" s="6">
        <v>133185</v>
      </c>
      <c r="E367" s="6">
        <v>30409453</v>
      </c>
      <c r="F367" s="1">
        <v>4.3797236339634255E-3</v>
      </c>
      <c r="H367" s="32">
        <f t="shared" si="5"/>
        <v>0</v>
      </c>
      <c r="I367" s="9" t="s">
        <v>939</v>
      </c>
      <c r="J367" s="9">
        <v>0</v>
      </c>
      <c r="K367" s="9">
        <v>0</v>
      </c>
      <c r="L367" s="9" t="s">
        <v>940</v>
      </c>
      <c r="M367" s="75">
        <v>0</v>
      </c>
      <c r="N367" s="78">
        <v>323312</v>
      </c>
      <c r="O367" s="81">
        <v>133185</v>
      </c>
    </row>
    <row r="368" spans="1:15" x14ac:dyDescent="0.25">
      <c r="B368" s="5" t="s">
        <v>443</v>
      </c>
      <c r="C368" s="5" t="s">
        <v>1949</v>
      </c>
      <c r="D368" s="6">
        <v>497356</v>
      </c>
      <c r="E368" s="6">
        <v>36678119</v>
      </c>
      <c r="F368" s="1">
        <v>2.4800808351158901E-2</v>
      </c>
      <c r="H368" s="32">
        <f t="shared" si="5"/>
        <v>0</v>
      </c>
      <c r="I368" s="9" t="s">
        <v>939</v>
      </c>
      <c r="J368" s="9">
        <v>0</v>
      </c>
      <c r="K368" s="9">
        <v>0</v>
      </c>
      <c r="L368" s="9" t="s">
        <v>940</v>
      </c>
      <c r="M368" s="75">
        <v>0</v>
      </c>
      <c r="N368" s="78">
        <v>515195</v>
      </c>
      <c r="O368" s="81">
        <v>497356</v>
      </c>
    </row>
    <row r="369" spans="1:15" x14ac:dyDescent="0.25">
      <c r="B369" s="5" t="s">
        <v>444</v>
      </c>
      <c r="C369" s="5" t="s">
        <v>1592</v>
      </c>
      <c r="D369" s="6">
        <v>915894</v>
      </c>
      <c r="E369" s="6">
        <v>136284800</v>
      </c>
      <c r="F369" s="1">
        <v>6.7204413111366787E-3</v>
      </c>
      <c r="H369" s="32">
        <f t="shared" si="5"/>
        <v>1.5298844772124258E-2</v>
      </c>
      <c r="I369" s="9" t="s">
        <v>937</v>
      </c>
      <c r="J369" s="9">
        <v>3</v>
      </c>
      <c r="K369" s="9">
        <v>5</v>
      </c>
      <c r="L369" s="9" t="s">
        <v>938</v>
      </c>
      <c r="M369" s="75">
        <v>2085000</v>
      </c>
      <c r="N369" s="78">
        <v>1903320</v>
      </c>
      <c r="O369" s="81">
        <v>915894</v>
      </c>
    </row>
    <row r="370" spans="1:15" x14ac:dyDescent="0.25">
      <c r="B370" s="5" t="s">
        <v>445</v>
      </c>
      <c r="C370" s="5" t="s">
        <v>1624</v>
      </c>
      <c r="D370" s="6">
        <v>40001</v>
      </c>
      <c r="E370" s="6">
        <v>9002200</v>
      </c>
      <c r="F370" s="1">
        <v>4.4434693741529849E-3</v>
      </c>
      <c r="H370" s="32">
        <f t="shared" si="5"/>
        <v>0</v>
      </c>
      <c r="I370" s="9" t="s">
        <v>939</v>
      </c>
      <c r="J370" s="9">
        <v>0</v>
      </c>
      <c r="K370" s="9">
        <v>0</v>
      </c>
      <c r="L370" s="9" t="s">
        <v>940</v>
      </c>
      <c r="M370" s="75">
        <v>0</v>
      </c>
      <c r="N370" s="78">
        <v>93884</v>
      </c>
      <c r="O370" s="81">
        <v>40001</v>
      </c>
    </row>
    <row r="371" spans="1:15" x14ac:dyDescent="0.25">
      <c r="A371" t="s">
        <v>1080</v>
      </c>
      <c r="B371" s="5" t="s">
        <v>446</v>
      </c>
      <c r="C371" s="5" t="s">
        <v>1081</v>
      </c>
      <c r="D371" s="6">
        <v>171018</v>
      </c>
      <c r="E371" s="6">
        <v>35117036</v>
      </c>
      <c r="F371" s="1">
        <v>4.8699440351400959E-3</v>
      </c>
      <c r="H371" s="32">
        <f t="shared" si="5"/>
        <v>7.047861328615547E-2</v>
      </c>
      <c r="I371" s="9" t="s">
        <v>945</v>
      </c>
      <c r="J371" s="9">
        <v>3</v>
      </c>
      <c r="K371" s="9">
        <v>7</v>
      </c>
      <c r="L371" s="9" t="s">
        <v>949</v>
      </c>
      <c r="M371" s="75">
        <v>2475000</v>
      </c>
      <c r="N371" s="78">
        <v>403889</v>
      </c>
      <c r="O371" s="81">
        <v>171018</v>
      </c>
    </row>
    <row r="372" spans="1:15" x14ac:dyDescent="0.25">
      <c r="B372" s="5" t="s">
        <v>447</v>
      </c>
      <c r="C372" s="5" t="s">
        <v>1550</v>
      </c>
      <c r="D372" s="6">
        <v>325884</v>
      </c>
      <c r="E372" s="6">
        <v>27501400</v>
      </c>
      <c r="F372" s="1">
        <v>1.1849724014050194E-2</v>
      </c>
      <c r="H372" s="32">
        <f t="shared" si="5"/>
        <v>0</v>
      </c>
      <c r="I372" s="9" t="s">
        <v>939</v>
      </c>
      <c r="J372" s="9">
        <v>0</v>
      </c>
      <c r="K372" s="9">
        <v>0</v>
      </c>
      <c r="L372" s="9" t="s">
        <v>940</v>
      </c>
      <c r="M372" s="75">
        <v>0</v>
      </c>
      <c r="N372" s="78">
        <v>291225</v>
      </c>
      <c r="O372" s="81">
        <v>325884</v>
      </c>
    </row>
    <row r="373" spans="1:15" x14ac:dyDescent="0.25">
      <c r="A373" t="s">
        <v>1082</v>
      </c>
      <c r="B373" s="5" t="s">
        <v>448</v>
      </c>
      <c r="C373" s="5" t="s">
        <v>1083</v>
      </c>
      <c r="D373" s="6">
        <v>220004</v>
      </c>
      <c r="E373" s="6">
        <v>43207600</v>
      </c>
      <c r="F373" s="1">
        <v>5.0917894074190648E-3</v>
      </c>
      <c r="H373" s="32">
        <f t="shared" si="5"/>
        <v>2.0505651783482536E-2</v>
      </c>
      <c r="I373" s="9" t="s">
        <v>939</v>
      </c>
      <c r="J373" s="9">
        <v>0</v>
      </c>
      <c r="K373" s="9">
        <v>0</v>
      </c>
      <c r="L373" s="9" t="s">
        <v>940</v>
      </c>
      <c r="M373" s="75">
        <v>886000</v>
      </c>
      <c r="N373" s="78">
        <v>435409</v>
      </c>
      <c r="O373" s="81">
        <v>220004</v>
      </c>
    </row>
    <row r="374" spans="1:15" x14ac:dyDescent="0.25">
      <c r="A374" t="s">
        <v>1084</v>
      </c>
      <c r="B374" s="5" t="s">
        <v>449</v>
      </c>
      <c r="C374" s="5" t="s">
        <v>1085</v>
      </c>
      <c r="D374" s="6">
        <v>39304</v>
      </c>
      <c r="E374" s="6">
        <v>8103176</v>
      </c>
      <c r="F374" s="1">
        <v>4.8504438259763822E-3</v>
      </c>
      <c r="H374" s="32">
        <f t="shared" si="5"/>
        <v>0</v>
      </c>
      <c r="I374" s="9" t="s">
        <v>939</v>
      </c>
      <c r="J374" s="9">
        <v>0</v>
      </c>
      <c r="K374" s="9">
        <v>0</v>
      </c>
      <c r="L374" s="9" t="s">
        <v>940</v>
      </c>
      <c r="M374" s="75">
        <v>0</v>
      </c>
      <c r="N374" s="78">
        <v>90891</v>
      </c>
      <c r="O374" s="81">
        <v>39304</v>
      </c>
    </row>
    <row r="375" spans="1:15" x14ac:dyDescent="0.25">
      <c r="B375" s="5" t="s">
        <v>450</v>
      </c>
      <c r="C375" s="5" t="s">
        <v>1737</v>
      </c>
      <c r="D375" s="6">
        <v>108149</v>
      </c>
      <c r="E375" s="6">
        <v>12291600</v>
      </c>
      <c r="F375" s="1">
        <v>8.7986104331413319E-3</v>
      </c>
      <c r="H375" s="32">
        <f t="shared" si="5"/>
        <v>0</v>
      </c>
      <c r="I375" s="9" t="s">
        <v>939</v>
      </c>
      <c r="J375" s="9">
        <v>0</v>
      </c>
      <c r="K375" s="9">
        <v>0</v>
      </c>
      <c r="L375" s="9" t="s">
        <v>940</v>
      </c>
      <c r="M375" s="75">
        <v>0</v>
      </c>
      <c r="N375" s="78">
        <v>134229</v>
      </c>
      <c r="O375" s="81">
        <v>108149</v>
      </c>
    </row>
    <row r="376" spans="1:15" x14ac:dyDescent="0.25">
      <c r="B376" s="5" t="s">
        <v>451</v>
      </c>
      <c r="C376" s="5" t="s">
        <v>1846</v>
      </c>
      <c r="D376" s="6">
        <v>184151</v>
      </c>
      <c r="E376" s="6">
        <v>17800207</v>
      </c>
      <c r="F376" s="1">
        <v>1.0345441488405162E-2</v>
      </c>
      <c r="H376" s="32">
        <f t="shared" si="5"/>
        <v>0</v>
      </c>
      <c r="I376" s="9" t="s">
        <v>939</v>
      </c>
      <c r="J376" s="9">
        <v>0</v>
      </c>
      <c r="K376" s="9">
        <v>0</v>
      </c>
      <c r="L376" s="9" t="s">
        <v>940</v>
      </c>
      <c r="M376" s="75">
        <v>0</v>
      </c>
      <c r="N376" s="78">
        <v>313819</v>
      </c>
      <c r="O376" s="81">
        <v>184151</v>
      </c>
    </row>
    <row r="377" spans="1:15" x14ac:dyDescent="0.25">
      <c r="B377" s="5" t="s">
        <v>452</v>
      </c>
      <c r="C377" s="5" t="s">
        <v>1984</v>
      </c>
      <c r="D377" s="6">
        <v>7000</v>
      </c>
      <c r="E377" s="6">
        <v>2637026</v>
      </c>
      <c r="F377" s="1">
        <v>2.6545054921718633E-3</v>
      </c>
      <c r="H377" s="32">
        <f t="shared" si="5"/>
        <v>0</v>
      </c>
      <c r="I377" s="9" t="s">
        <v>939</v>
      </c>
      <c r="J377" s="9">
        <v>0</v>
      </c>
      <c r="K377" s="9">
        <v>0</v>
      </c>
      <c r="L377" s="9" t="s">
        <v>940</v>
      </c>
      <c r="M377" s="75">
        <v>0</v>
      </c>
      <c r="N377" s="78">
        <v>28130</v>
      </c>
      <c r="O377" s="81">
        <v>7000</v>
      </c>
    </row>
    <row r="378" spans="1:15" x14ac:dyDescent="0.25">
      <c r="B378" s="5" t="s">
        <v>453</v>
      </c>
      <c r="C378" s="5" t="s">
        <v>1458</v>
      </c>
      <c r="D378" s="6">
        <v>15496759</v>
      </c>
      <c r="E378" s="6">
        <v>2304435877</v>
      </c>
      <c r="F378" s="1">
        <v>7.7232077393143278E-3</v>
      </c>
      <c r="H378" s="32">
        <f t="shared" si="5"/>
        <v>2.2068307696287443E-2</v>
      </c>
      <c r="I378" s="9" t="s">
        <v>941</v>
      </c>
      <c r="J378" s="9">
        <v>2</v>
      </c>
      <c r="K378" s="9">
        <v>2</v>
      </c>
      <c r="L378" s="9" t="s">
        <v>938</v>
      </c>
      <c r="M378" s="75">
        <v>50855000</v>
      </c>
      <c r="N378" s="78">
        <v>23390660</v>
      </c>
      <c r="O378" s="81">
        <v>15496759</v>
      </c>
    </row>
    <row r="379" spans="1:15" x14ac:dyDescent="0.25">
      <c r="B379" s="5" t="s">
        <v>454</v>
      </c>
      <c r="C379" s="5" t="s">
        <v>1926</v>
      </c>
      <c r="D379" s="6">
        <v>537594</v>
      </c>
      <c r="E379" s="6">
        <v>45036500</v>
      </c>
      <c r="F379" s="1">
        <v>1.1936851220676562E-2</v>
      </c>
      <c r="H379" s="32">
        <f t="shared" si="5"/>
        <v>1.0101917333718206E-2</v>
      </c>
      <c r="I379" s="9" t="s">
        <v>939</v>
      </c>
      <c r="J379" s="9">
        <v>0</v>
      </c>
      <c r="K379" s="9">
        <v>0</v>
      </c>
      <c r="L379" s="9" t="s">
        <v>940</v>
      </c>
      <c r="M379" s="75">
        <v>454955</v>
      </c>
      <c r="N379" s="78">
        <v>511292</v>
      </c>
      <c r="O379" s="81">
        <v>537594</v>
      </c>
    </row>
    <row r="380" spans="1:15" x14ac:dyDescent="0.25">
      <c r="B380" s="5" t="s">
        <v>455</v>
      </c>
      <c r="C380" s="5" t="s">
        <v>1658</v>
      </c>
      <c r="D380" s="6">
        <v>1169913</v>
      </c>
      <c r="E380" s="6">
        <v>157168500</v>
      </c>
      <c r="F380" s="1">
        <v>7.4436862348371338E-3</v>
      </c>
      <c r="H380" s="32">
        <f t="shared" si="5"/>
        <v>6.8079799705411705E-3</v>
      </c>
      <c r="I380" s="9" t="s">
        <v>942</v>
      </c>
      <c r="J380" s="9">
        <v>2</v>
      </c>
      <c r="K380" s="9">
        <v>4</v>
      </c>
      <c r="L380" s="9" t="s">
        <v>938</v>
      </c>
      <c r="M380" s="75">
        <v>1070000</v>
      </c>
      <c r="N380" s="78">
        <v>1611552</v>
      </c>
      <c r="O380" s="81">
        <v>1169913</v>
      </c>
    </row>
    <row r="381" spans="1:15" x14ac:dyDescent="0.25">
      <c r="B381" s="5" t="s">
        <v>456</v>
      </c>
      <c r="C381" s="5" t="s">
        <v>1804</v>
      </c>
      <c r="D381" s="6">
        <v>1408546</v>
      </c>
      <c r="E381" s="6">
        <v>126556507</v>
      </c>
      <c r="F381" s="1">
        <v>1.2204974968217161E-2</v>
      </c>
      <c r="H381" s="32">
        <f t="shared" si="5"/>
        <v>1.3195686571848889E-2</v>
      </c>
      <c r="I381" s="9" t="s">
        <v>945</v>
      </c>
      <c r="J381" s="9">
        <v>3</v>
      </c>
      <c r="K381" s="9">
        <v>7</v>
      </c>
      <c r="L381" s="9" t="s">
        <v>938</v>
      </c>
      <c r="M381" s="75">
        <v>1670000</v>
      </c>
      <c r="N381" s="78">
        <v>1566938</v>
      </c>
      <c r="O381" s="81">
        <v>1408546</v>
      </c>
    </row>
    <row r="382" spans="1:15" x14ac:dyDescent="0.25">
      <c r="B382" s="5" t="s">
        <v>457</v>
      </c>
      <c r="C382" s="5" t="s">
        <v>1522</v>
      </c>
      <c r="D382" s="6">
        <v>8064524</v>
      </c>
      <c r="E382" s="6">
        <v>2024714000</v>
      </c>
      <c r="F382" s="1">
        <v>4.4038713615848959E-3</v>
      </c>
      <c r="H382" s="32">
        <f t="shared" si="5"/>
        <v>7.9863131286690373E-3</v>
      </c>
      <c r="I382" s="9" t="s">
        <v>941</v>
      </c>
      <c r="J382" s="9">
        <v>2</v>
      </c>
      <c r="K382" s="9">
        <v>2</v>
      </c>
      <c r="L382" s="9" t="s">
        <v>938</v>
      </c>
      <c r="M382" s="75">
        <v>16170000</v>
      </c>
      <c r="N382" s="78">
        <v>20875304</v>
      </c>
      <c r="O382" s="81">
        <v>8064524</v>
      </c>
    </row>
    <row r="383" spans="1:15" x14ac:dyDescent="0.25">
      <c r="B383" s="5" t="s">
        <v>458</v>
      </c>
      <c r="C383" s="5" t="s">
        <v>2304</v>
      </c>
      <c r="D383" s="6">
        <v>3102</v>
      </c>
      <c r="E383" s="6">
        <v>1103700</v>
      </c>
      <c r="F383" s="1">
        <v>2.8105463441152486E-3</v>
      </c>
      <c r="H383" s="32">
        <f t="shared" si="5"/>
        <v>0</v>
      </c>
      <c r="I383" s="9" t="s">
        <v>939</v>
      </c>
      <c r="J383" s="9">
        <v>0</v>
      </c>
      <c r="K383" s="9">
        <v>0</v>
      </c>
      <c r="L383" s="9" t="s">
        <v>940</v>
      </c>
      <c r="M383" s="75">
        <v>0</v>
      </c>
      <c r="N383" s="78">
        <v>15796</v>
      </c>
      <c r="O383" s="81">
        <v>3102</v>
      </c>
    </row>
    <row r="384" spans="1:15" x14ac:dyDescent="0.25">
      <c r="A384" t="s">
        <v>1086</v>
      </c>
      <c r="B384" s="5" t="s">
        <v>459</v>
      </c>
      <c r="C384" s="5" t="s">
        <v>1087</v>
      </c>
      <c r="D384" s="6">
        <v>7630796</v>
      </c>
      <c r="E384" s="6">
        <v>1010740600</v>
      </c>
      <c r="F384" s="1">
        <v>7.5497076104393155E-3</v>
      </c>
      <c r="H384" s="32">
        <f t="shared" si="5"/>
        <v>7.7121667023170928E-3</v>
      </c>
      <c r="I384" s="9" t="s">
        <v>942</v>
      </c>
      <c r="J384" s="9">
        <v>2</v>
      </c>
      <c r="K384" s="9">
        <v>4</v>
      </c>
      <c r="L384" s="9" t="s">
        <v>938</v>
      </c>
      <c r="M384" s="75">
        <v>7795000</v>
      </c>
      <c r="N384" s="78">
        <v>11945125</v>
      </c>
      <c r="O384" s="81">
        <v>7630796</v>
      </c>
    </row>
    <row r="385" spans="2:15" x14ac:dyDescent="0.25">
      <c r="B385" s="5" t="s">
        <v>460</v>
      </c>
      <c r="C385" s="5" t="s">
        <v>2007</v>
      </c>
      <c r="D385" s="6">
        <v>31003</v>
      </c>
      <c r="E385" s="6">
        <v>2707629</v>
      </c>
      <c r="F385" s="1">
        <v>1.1450239305311031E-2</v>
      </c>
      <c r="H385" s="32">
        <f t="shared" si="5"/>
        <v>0</v>
      </c>
      <c r="I385" s="9" t="s">
        <v>939</v>
      </c>
      <c r="J385" s="9">
        <v>0</v>
      </c>
      <c r="K385" s="9">
        <v>0</v>
      </c>
      <c r="L385" s="9" t="s">
        <v>940</v>
      </c>
      <c r="M385" s="75">
        <v>0</v>
      </c>
      <c r="N385" s="78">
        <v>27231</v>
      </c>
      <c r="O385" s="81">
        <v>31003</v>
      </c>
    </row>
    <row r="386" spans="2:15" x14ac:dyDescent="0.25">
      <c r="B386" s="5" t="s">
        <v>461</v>
      </c>
      <c r="C386" s="5" t="s">
        <v>2305</v>
      </c>
      <c r="D386" s="6">
        <v>3265545</v>
      </c>
      <c r="E386" s="6">
        <v>793577245</v>
      </c>
      <c r="F386" s="1">
        <v>4.2785639600843141E-3</v>
      </c>
      <c r="H386" s="32">
        <f t="shared" si="5"/>
        <v>5.733531333802294E-3</v>
      </c>
      <c r="I386" s="9" t="s">
        <v>941</v>
      </c>
      <c r="J386" s="9">
        <v>2</v>
      </c>
      <c r="K386" s="9">
        <v>2</v>
      </c>
      <c r="L386" s="9" t="s">
        <v>938</v>
      </c>
      <c r="M386" s="75">
        <v>4550000</v>
      </c>
      <c r="N386" s="78">
        <v>8126042</v>
      </c>
      <c r="O386" s="81">
        <v>3265545</v>
      </c>
    </row>
    <row r="387" spans="2:15" x14ac:dyDescent="0.25">
      <c r="B387" s="5" t="s">
        <v>462</v>
      </c>
      <c r="C387" s="5" t="s">
        <v>1703</v>
      </c>
      <c r="D387" s="6">
        <v>2980864</v>
      </c>
      <c r="E387" s="6">
        <v>231971949</v>
      </c>
      <c r="F387" s="1">
        <v>1.2850105423738109E-2</v>
      </c>
      <c r="H387" s="32">
        <f t="shared" si="5"/>
        <v>0</v>
      </c>
      <c r="I387" s="9" t="s">
        <v>937</v>
      </c>
      <c r="J387" s="9">
        <v>3</v>
      </c>
      <c r="K387" s="9">
        <v>5</v>
      </c>
      <c r="L387" s="9" t="s">
        <v>938</v>
      </c>
      <c r="M387" s="75">
        <v>0</v>
      </c>
      <c r="N387" s="78">
        <v>3036829</v>
      </c>
      <c r="O387" s="81">
        <v>2980864</v>
      </c>
    </row>
    <row r="388" spans="2:15" x14ac:dyDescent="0.25">
      <c r="B388" s="5" t="s">
        <v>463</v>
      </c>
      <c r="C388" s="5" t="s">
        <v>1593</v>
      </c>
      <c r="D388" s="6">
        <v>23360621</v>
      </c>
      <c r="E388" s="6">
        <v>4315084306</v>
      </c>
      <c r="F388" s="1">
        <v>6.0728871423352442E-3</v>
      </c>
      <c r="H388" s="32">
        <f t="shared" si="5"/>
        <v>5.7020902154304286E-3</v>
      </c>
      <c r="I388" s="9" t="s">
        <v>941</v>
      </c>
      <c r="J388" s="9">
        <v>2</v>
      </c>
      <c r="K388" s="9">
        <v>2</v>
      </c>
      <c r="L388" s="9" t="s">
        <v>938</v>
      </c>
      <c r="M388" s="75">
        <v>24605000</v>
      </c>
      <c r="N388" s="78">
        <v>46038315</v>
      </c>
      <c r="O388" s="81">
        <v>23360621</v>
      </c>
    </row>
    <row r="389" spans="2:15" x14ac:dyDescent="0.25">
      <c r="B389" s="5" t="s">
        <v>464</v>
      </c>
      <c r="C389" s="5" t="s">
        <v>1617</v>
      </c>
      <c r="D389" s="6">
        <v>45352</v>
      </c>
      <c r="E389" s="6">
        <v>4711621</v>
      </c>
      <c r="F389" s="1">
        <v>9.6255619881140692E-3</v>
      </c>
      <c r="H389" s="32">
        <f t="shared" ref="H389:H452" si="6">M389/E389</f>
        <v>0</v>
      </c>
      <c r="I389" s="9" t="s">
        <v>939</v>
      </c>
      <c r="J389" s="9">
        <v>0</v>
      </c>
      <c r="K389" s="9">
        <v>0</v>
      </c>
      <c r="L389" s="9" t="s">
        <v>940</v>
      </c>
      <c r="M389" s="75">
        <v>0</v>
      </c>
      <c r="N389" s="78">
        <v>46579</v>
      </c>
      <c r="O389" s="81">
        <v>45352</v>
      </c>
    </row>
    <row r="390" spans="2:15" x14ac:dyDescent="0.25">
      <c r="B390" s="5" t="s">
        <v>465</v>
      </c>
      <c r="C390" s="5" t="s">
        <v>1989</v>
      </c>
      <c r="D390" s="6">
        <v>15456</v>
      </c>
      <c r="E390" s="6">
        <v>5729875</v>
      </c>
      <c r="F390" s="1">
        <v>2.9747594842819435E-3</v>
      </c>
      <c r="H390" s="32">
        <f t="shared" si="6"/>
        <v>0</v>
      </c>
      <c r="I390" s="9" t="s">
        <v>939</v>
      </c>
      <c r="J390" s="9">
        <v>0</v>
      </c>
      <c r="K390" s="9">
        <v>0</v>
      </c>
      <c r="L390" s="9" t="s">
        <v>940</v>
      </c>
      <c r="M390" s="75">
        <v>0</v>
      </c>
      <c r="N390" s="78">
        <v>60194</v>
      </c>
      <c r="O390" s="81">
        <v>15456</v>
      </c>
    </row>
    <row r="391" spans="2:15" x14ac:dyDescent="0.25">
      <c r="B391" s="5" t="s">
        <v>466</v>
      </c>
      <c r="C391" s="5" t="s">
        <v>1816</v>
      </c>
      <c r="D391" s="6">
        <v>252676</v>
      </c>
      <c r="E391" s="6">
        <v>24564809</v>
      </c>
      <c r="F391" s="1">
        <v>1.3091736231289239E-2</v>
      </c>
      <c r="H391" s="32">
        <f t="shared" si="6"/>
        <v>0</v>
      </c>
      <c r="I391" s="9" t="s">
        <v>939</v>
      </c>
      <c r="J391" s="9">
        <v>0</v>
      </c>
      <c r="K391" s="9">
        <v>0</v>
      </c>
      <c r="L391" s="9" t="s">
        <v>940</v>
      </c>
      <c r="M391" s="75">
        <v>0</v>
      </c>
      <c r="N391" s="78">
        <v>250084</v>
      </c>
      <c r="O391" s="81">
        <v>252676</v>
      </c>
    </row>
    <row r="392" spans="2:15" x14ac:dyDescent="0.25">
      <c r="B392" s="5" t="s">
        <v>467</v>
      </c>
      <c r="C392" s="5" t="s">
        <v>1874</v>
      </c>
      <c r="D392" s="6">
        <v>2987149</v>
      </c>
      <c r="E392" s="6">
        <v>448795600</v>
      </c>
      <c r="F392" s="1">
        <v>6.6559230972852677E-3</v>
      </c>
      <c r="H392" s="32">
        <f t="shared" si="6"/>
        <v>7.1747583978096045E-3</v>
      </c>
      <c r="I392" s="9" t="s">
        <v>942</v>
      </c>
      <c r="J392" s="9">
        <v>2</v>
      </c>
      <c r="K392" s="9">
        <v>4</v>
      </c>
      <c r="L392" s="9" t="s">
        <v>938</v>
      </c>
      <c r="M392" s="75">
        <v>3220000</v>
      </c>
      <c r="N392" s="78">
        <v>4947689</v>
      </c>
      <c r="O392" s="81">
        <v>2987149</v>
      </c>
    </row>
    <row r="393" spans="2:15" x14ac:dyDescent="0.25">
      <c r="B393" s="5" t="s">
        <v>468</v>
      </c>
      <c r="C393" s="5" t="s">
        <v>1900</v>
      </c>
      <c r="D393" s="6">
        <v>669939</v>
      </c>
      <c r="E393" s="6">
        <v>81325730</v>
      </c>
      <c r="F393" s="1">
        <v>8.237725010276576E-3</v>
      </c>
      <c r="H393" s="32">
        <f t="shared" si="6"/>
        <v>7.7393095641440906E-3</v>
      </c>
      <c r="I393" s="9" t="s">
        <v>945</v>
      </c>
      <c r="J393" s="9">
        <v>3</v>
      </c>
      <c r="K393" s="9">
        <v>7</v>
      </c>
      <c r="L393" s="9" t="s">
        <v>949</v>
      </c>
      <c r="M393" s="75">
        <v>629405</v>
      </c>
      <c r="N393" s="78">
        <v>865542</v>
      </c>
      <c r="O393" s="81">
        <v>669939</v>
      </c>
    </row>
    <row r="394" spans="2:15" x14ac:dyDescent="0.25">
      <c r="B394" s="5" t="s">
        <v>469</v>
      </c>
      <c r="C394" s="5" t="s">
        <v>1966</v>
      </c>
      <c r="D394" s="6">
        <v>315538</v>
      </c>
      <c r="E394" s="6">
        <v>16107824</v>
      </c>
      <c r="F394" s="1">
        <v>1.9589113961016709E-2</v>
      </c>
      <c r="H394" s="32">
        <f t="shared" si="6"/>
        <v>0</v>
      </c>
      <c r="I394" s="9" t="s">
        <v>939</v>
      </c>
      <c r="J394" s="9">
        <v>0</v>
      </c>
      <c r="K394" s="9">
        <v>0</v>
      </c>
      <c r="L394" s="9" t="s">
        <v>940</v>
      </c>
      <c r="M394" s="75">
        <v>0</v>
      </c>
      <c r="N394" s="78">
        <v>185096</v>
      </c>
      <c r="O394" s="81">
        <v>315538</v>
      </c>
    </row>
    <row r="395" spans="2:15" x14ac:dyDescent="0.25">
      <c r="B395" s="5" t="s">
        <v>470</v>
      </c>
      <c r="C395" s="5" t="s">
        <v>1534</v>
      </c>
      <c r="D395" s="6">
        <v>1594465</v>
      </c>
      <c r="E395" s="6">
        <v>205165700</v>
      </c>
      <c r="F395" s="1">
        <v>7.7715963243368651E-3</v>
      </c>
      <c r="H395" s="32">
        <f t="shared" si="6"/>
        <v>2.7636198448376119E-3</v>
      </c>
      <c r="I395" s="9" t="s">
        <v>937</v>
      </c>
      <c r="J395" s="9">
        <v>3</v>
      </c>
      <c r="K395" s="9">
        <v>5</v>
      </c>
      <c r="L395" s="9" t="s">
        <v>938</v>
      </c>
      <c r="M395" s="75">
        <v>567000</v>
      </c>
      <c r="N395" s="78">
        <v>2444451</v>
      </c>
      <c r="O395" s="81">
        <v>1594465</v>
      </c>
    </row>
    <row r="396" spans="2:15" x14ac:dyDescent="0.25">
      <c r="B396" s="5" t="s">
        <v>471</v>
      </c>
      <c r="C396" s="5" t="s">
        <v>1569</v>
      </c>
      <c r="D396" s="6">
        <v>1044490</v>
      </c>
      <c r="E396" s="6">
        <v>124521300</v>
      </c>
      <c r="F396" s="1">
        <v>8.3880428488941252E-3</v>
      </c>
      <c r="H396" s="32">
        <f t="shared" si="6"/>
        <v>0</v>
      </c>
      <c r="I396" s="9" t="s">
        <v>937</v>
      </c>
      <c r="J396" s="9">
        <v>3</v>
      </c>
      <c r="K396" s="9">
        <v>5</v>
      </c>
      <c r="L396" s="9" t="s">
        <v>938</v>
      </c>
      <c r="M396" s="75">
        <v>0</v>
      </c>
      <c r="N396" s="78">
        <v>1303538</v>
      </c>
      <c r="O396" s="81">
        <v>1044490</v>
      </c>
    </row>
    <row r="397" spans="2:15" x14ac:dyDescent="0.25">
      <c r="B397" s="5" t="s">
        <v>472</v>
      </c>
      <c r="C397" s="5" t="s">
        <v>2026</v>
      </c>
      <c r="D397" s="6">
        <v>200166</v>
      </c>
      <c r="E397" s="6">
        <v>19691477</v>
      </c>
      <c r="F397" s="1">
        <v>1.0165108488306896E-2</v>
      </c>
      <c r="H397" s="32">
        <f t="shared" si="6"/>
        <v>0</v>
      </c>
      <c r="I397" s="9" t="s">
        <v>939</v>
      </c>
      <c r="J397" s="9">
        <v>0</v>
      </c>
      <c r="K397" s="9">
        <v>0</v>
      </c>
      <c r="L397" s="9" t="s">
        <v>940</v>
      </c>
      <c r="M397" s="75">
        <v>0</v>
      </c>
      <c r="N397" s="78">
        <v>239212</v>
      </c>
      <c r="O397" s="81">
        <v>200166</v>
      </c>
    </row>
    <row r="398" spans="2:15" x14ac:dyDescent="0.25">
      <c r="B398" s="5" t="s">
        <v>473</v>
      </c>
      <c r="C398" s="5" t="s">
        <v>2002</v>
      </c>
      <c r="D398" s="6">
        <v>198468</v>
      </c>
      <c r="E398" s="6">
        <v>10924370</v>
      </c>
      <c r="F398" s="1">
        <v>1.8167454965366425E-2</v>
      </c>
      <c r="H398" s="32">
        <f t="shared" si="6"/>
        <v>0</v>
      </c>
      <c r="I398" s="9" t="s">
        <v>939</v>
      </c>
      <c r="J398" s="9">
        <v>0</v>
      </c>
      <c r="K398" s="9">
        <v>0</v>
      </c>
      <c r="L398" s="9" t="s">
        <v>940</v>
      </c>
      <c r="M398" s="75">
        <v>0</v>
      </c>
      <c r="N398" s="78">
        <v>145213</v>
      </c>
      <c r="O398" s="81">
        <v>198468</v>
      </c>
    </row>
    <row r="399" spans="2:15" x14ac:dyDescent="0.25">
      <c r="B399" s="5" t="s">
        <v>474</v>
      </c>
      <c r="C399" s="5" t="s">
        <v>2306</v>
      </c>
      <c r="D399" s="6">
        <v>277028</v>
      </c>
      <c r="E399" s="6">
        <v>45342920</v>
      </c>
      <c r="F399" s="1">
        <v>6.1096197598213787E-3</v>
      </c>
      <c r="H399" s="32">
        <f t="shared" si="6"/>
        <v>0</v>
      </c>
      <c r="I399" s="9" t="s">
        <v>939</v>
      </c>
      <c r="J399" s="9">
        <v>0</v>
      </c>
      <c r="K399" s="9">
        <v>0</v>
      </c>
      <c r="L399" s="9" t="s">
        <v>940</v>
      </c>
      <c r="M399" s="75">
        <v>0</v>
      </c>
      <c r="N399" s="78">
        <v>543117</v>
      </c>
      <c r="O399" s="81">
        <v>277028</v>
      </c>
    </row>
    <row r="400" spans="2:15" x14ac:dyDescent="0.25">
      <c r="B400" s="5" t="s">
        <v>475</v>
      </c>
      <c r="C400" s="5" t="s">
        <v>1944</v>
      </c>
      <c r="D400" s="6">
        <v>10009</v>
      </c>
      <c r="E400" s="6">
        <v>1344080</v>
      </c>
      <c r="F400" s="1">
        <v>7.4467293613475387E-3</v>
      </c>
      <c r="H400" s="32">
        <f t="shared" si="6"/>
        <v>0</v>
      </c>
      <c r="I400" s="9" t="s">
        <v>939</v>
      </c>
      <c r="J400" s="9">
        <v>0</v>
      </c>
      <c r="K400" s="9">
        <v>0</v>
      </c>
      <c r="L400" s="9" t="s">
        <v>940</v>
      </c>
      <c r="M400" s="75">
        <v>0</v>
      </c>
      <c r="N400" s="78">
        <v>16339</v>
      </c>
      <c r="O400" s="81">
        <v>10009</v>
      </c>
    </row>
    <row r="401" spans="1:15" x14ac:dyDescent="0.25">
      <c r="A401" t="s">
        <v>1088</v>
      </c>
      <c r="B401" s="5" t="s">
        <v>476</v>
      </c>
      <c r="C401" s="5" t="s">
        <v>1089</v>
      </c>
      <c r="D401" s="6">
        <v>4134347</v>
      </c>
      <c r="E401" s="6">
        <v>556941600</v>
      </c>
      <c r="F401" s="1">
        <v>9.3474019538134692E-3</v>
      </c>
      <c r="H401" s="32">
        <f t="shared" si="6"/>
        <v>1.5998086693470196E-2</v>
      </c>
      <c r="I401" s="9" t="s">
        <v>942</v>
      </c>
      <c r="J401" s="9">
        <v>2</v>
      </c>
      <c r="K401" s="9">
        <v>4</v>
      </c>
      <c r="L401" s="9" t="s">
        <v>938</v>
      </c>
      <c r="M401" s="75">
        <v>8910000</v>
      </c>
      <c r="N401" s="78">
        <v>5592942</v>
      </c>
      <c r="O401" s="81">
        <v>4134347</v>
      </c>
    </row>
    <row r="402" spans="1:15" x14ac:dyDescent="0.25">
      <c r="B402" s="5" t="s">
        <v>477</v>
      </c>
      <c r="C402" s="5" t="s">
        <v>1746</v>
      </c>
      <c r="D402" s="6">
        <v>217605</v>
      </c>
      <c r="E402" s="6">
        <v>19899616</v>
      </c>
      <c r="F402" s="1">
        <v>1.0935135632767989E-2</v>
      </c>
      <c r="H402" s="32">
        <f t="shared" si="6"/>
        <v>0</v>
      </c>
      <c r="I402" s="9" t="s">
        <v>939</v>
      </c>
      <c r="J402" s="9">
        <v>0</v>
      </c>
      <c r="K402" s="9">
        <v>0</v>
      </c>
      <c r="L402" s="9" t="s">
        <v>940</v>
      </c>
      <c r="M402" s="75">
        <v>0</v>
      </c>
      <c r="N402" s="78">
        <v>213128</v>
      </c>
      <c r="O402" s="81">
        <v>217605</v>
      </c>
    </row>
    <row r="403" spans="1:15" x14ac:dyDescent="0.25">
      <c r="B403" s="5" t="s">
        <v>478</v>
      </c>
      <c r="C403" s="5" t="s">
        <v>1648</v>
      </c>
      <c r="D403" s="6">
        <v>244996</v>
      </c>
      <c r="E403" s="6">
        <v>26941100</v>
      </c>
      <c r="F403" s="1">
        <v>9.093763803259703E-3</v>
      </c>
      <c r="H403" s="32">
        <f t="shared" si="6"/>
        <v>0</v>
      </c>
      <c r="I403" s="9" t="s">
        <v>939</v>
      </c>
      <c r="J403" s="9">
        <v>0</v>
      </c>
      <c r="K403" s="9">
        <v>0</v>
      </c>
      <c r="L403" s="9" t="s">
        <v>940</v>
      </c>
      <c r="M403" s="75">
        <v>0</v>
      </c>
      <c r="N403" s="78">
        <v>327392</v>
      </c>
      <c r="O403" s="81">
        <v>244996</v>
      </c>
    </row>
    <row r="404" spans="1:15" x14ac:dyDescent="0.25">
      <c r="B404" s="5" t="s">
        <v>479</v>
      </c>
      <c r="C404" s="5" t="s">
        <v>1696</v>
      </c>
      <c r="D404" s="6">
        <v>76762</v>
      </c>
      <c r="E404" s="6">
        <v>43642900</v>
      </c>
      <c r="F404" s="1">
        <v>1.7588657032415352E-3</v>
      </c>
      <c r="H404" s="32">
        <f t="shared" si="6"/>
        <v>0</v>
      </c>
      <c r="I404" s="9" t="s">
        <v>939</v>
      </c>
      <c r="J404" s="9">
        <v>0</v>
      </c>
      <c r="K404" s="9">
        <v>0</v>
      </c>
      <c r="L404" s="9" t="s">
        <v>940</v>
      </c>
      <c r="M404" s="75">
        <v>0</v>
      </c>
      <c r="N404" s="78">
        <v>544099</v>
      </c>
      <c r="O404" s="81">
        <v>76762</v>
      </c>
    </row>
    <row r="405" spans="1:15" x14ac:dyDescent="0.25">
      <c r="A405" t="s">
        <v>1090</v>
      </c>
      <c r="B405" s="5" t="s">
        <v>480</v>
      </c>
      <c r="C405" s="5" t="s">
        <v>1091</v>
      </c>
      <c r="D405" s="6">
        <v>3584500</v>
      </c>
      <c r="E405" s="6">
        <v>483238000</v>
      </c>
      <c r="F405" s="1">
        <v>7.4176699680074832E-3</v>
      </c>
      <c r="H405" s="32">
        <f t="shared" si="6"/>
        <v>9.3144992736498373E-4</v>
      </c>
      <c r="I405" s="9" t="s">
        <v>942</v>
      </c>
      <c r="J405" s="9">
        <v>2</v>
      </c>
      <c r="K405" s="9">
        <v>4</v>
      </c>
      <c r="L405" s="9" t="s">
        <v>938</v>
      </c>
      <c r="M405" s="75">
        <v>450112</v>
      </c>
      <c r="N405" s="78">
        <v>5100699</v>
      </c>
      <c r="O405" s="81">
        <v>3584500</v>
      </c>
    </row>
    <row r="406" spans="1:15" x14ac:dyDescent="0.25">
      <c r="B406" s="5" t="s">
        <v>481</v>
      </c>
      <c r="C406" s="5" t="s">
        <v>1598</v>
      </c>
      <c r="D406" s="6">
        <v>289813</v>
      </c>
      <c r="E406" s="6">
        <v>26180359</v>
      </c>
      <c r="F406" s="1">
        <v>1.8234662099171368E-2</v>
      </c>
      <c r="H406" s="32">
        <f t="shared" si="6"/>
        <v>0</v>
      </c>
      <c r="I406" s="9" t="s">
        <v>939</v>
      </c>
      <c r="J406" s="9">
        <v>0</v>
      </c>
      <c r="K406" s="9">
        <v>0</v>
      </c>
      <c r="L406" s="9" t="s">
        <v>940</v>
      </c>
      <c r="M406" s="75">
        <v>0</v>
      </c>
      <c r="N406" s="78">
        <v>254032</v>
      </c>
      <c r="O406" s="81">
        <v>289813</v>
      </c>
    </row>
    <row r="407" spans="1:15" x14ac:dyDescent="0.25">
      <c r="B407" s="5" t="s">
        <v>482</v>
      </c>
      <c r="C407" s="5" t="s">
        <v>1757</v>
      </c>
      <c r="D407" s="6">
        <v>34304</v>
      </c>
      <c r="E407" s="6">
        <v>9618900</v>
      </c>
      <c r="F407" s="1">
        <v>3.5663121562756655E-3</v>
      </c>
      <c r="H407" s="32">
        <f t="shared" si="6"/>
        <v>0</v>
      </c>
      <c r="I407" s="9" t="s">
        <v>939</v>
      </c>
      <c r="J407" s="9">
        <v>0</v>
      </c>
      <c r="K407" s="9">
        <v>0</v>
      </c>
      <c r="L407" s="9" t="s">
        <v>940</v>
      </c>
      <c r="M407" s="75">
        <v>0</v>
      </c>
      <c r="N407" s="78">
        <v>105057</v>
      </c>
      <c r="O407" s="81">
        <v>34304</v>
      </c>
    </row>
    <row r="408" spans="1:15" x14ac:dyDescent="0.25">
      <c r="B408" s="5" t="s">
        <v>483</v>
      </c>
      <c r="C408" s="5" t="s">
        <v>1556</v>
      </c>
      <c r="D408" s="6">
        <v>273653</v>
      </c>
      <c r="E408" s="6">
        <v>25268700</v>
      </c>
      <c r="F408" s="1">
        <v>1.0829722146370806E-2</v>
      </c>
      <c r="H408" s="32">
        <f t="shared" si="6"/>
        <v>0</v>
      </c>
      <c r="I408" s="9" t="s">
        <v>939</v>
      </c>
      <c r="J408" s="9">
        <v>0</v>
      </c>
      <c r="K408" s="9">
        <v>0</v>
      </c>
      <c r="L408" s="9" t="s">
        <v>940</v>
      </c>
      <c r="M408" s="75">
        <v>0</v>
      </c>
      <c r="N408" s="78">
        <v>275307</v>
      </c>
      <c r="O408" s="81">
        <v>273653</v>
      </c>
    </row>
    <row r="409" spans="1:15" x14ac:dyDescent="0.25">
      <c r="B409" s="5" t="s">
        <v>484</v>
      </c>
      <c r="C409" s="5" t="s">
        <v>1964</v>
      </c>
      <c r="D409" s="6">
        <v>110706</v>
      </c>
      <c r="E409" s="6">
        <v>4171500</v>
      </c>
      <c r="F409" s="1">
        <v>2.6538655160014385E-2</v>
      </c>
      <c r="H409" s="32">
        <f t="shared" si="6"/>
        <v>0</v>
      </c>
      <c r="I409" s="9" t="s">
        <v>939</v>
      </c>
      <c r="J409" s="9">
        <v>0</v>
      </c>
      <c r="K409" s="9">
        <v>0</v>
      </c>
      <c r="L409" s="9" t="s">
        <v>940</v>
      </c>
      <c r="M409" s="75">
        <v>0</v>
      </c>
      <c r="N409" s="78">
        <v>50232</v>
      </c>
      <c r="O409" s="81">
        <v>110706</v>
      </c>
    </row>
    <row r="410" spans="1:15" x14ac:dyDescent="0.25">
      <c r="B410" s="5" t="s">
        <v>485</v>
      </c>
      <c r="C410" s="5" t="s">
        <v>1994</v>
      </c>
      <c r="D410" s="6">
        <v>16004</v>
      </c>
      <c r="E410" s="6">
        <v>5750551</v>
      </c>
      <c r="F410" s="1">
        <v>2.7830376602172558E-3</v>
      </c>
      <c r="H410" s="32">
        <f t="shared" si="6"/>
        <v>0</v>
      </c>
      <c r="I410" s="9" t="s">
        <v>939</v>
      </c>
      <c r="J410" s="9">
        <v>0</v>
      </c>
      <c r="K410" s="9">
        <v>0</v>
      </c>
      <c r="L410" s="9" t="s">
        <v>940</v>
      </c>
      <c r="M410" s="75">
        <v>0</v>
      </c>
      <c r="N410" s="78">
        <v>51099</v>
      </c>
      <c r="O410" s="81">
        <v>16004</v>
      </c>
    </row>
    <row r="411" spans="1:15" x14ac:dyDescent="0.25">
      <c r="B411" s="5" t="s">
        <v>486</v>
      </c>
      <c r="C411" s="5" t="s">
        <v>1914</v>
      </c>
      <c r="D411" s="6">
        <v>54439</v>
      </c>
      <c r="E411" s="6">
        <v>10232063</v>
      </c>
      <c r="F411" s="1">
        <v>5.3204324484710467E-3</v>
      </c>
      <c r="H411" s="32">
        <f t="shared" si="6"/>
        <v>0</v>
      </c>
      <c r="I411" s="9" t="s">
        <v>939</v>
      </c>
      <c r="J411" s="9">
        <v>0</v>
      </c>
      <c r="K411" s="9">
        <v>0</v>
      </c>
      <c r="L411" s="9" t="s">
        <v>940</v>
      </c>
      <c r="M411" s="75">
        <v>0</v>
      </c>
      <c r="N411" s="78">
        <v>129927</v>
      </c>
      <c r="O411" s="81">
        <v>54439</v>
      </c>
    </row>
    <row r="412" spans="1:15" x14ac:dyDescent="0.25">
      <c r="B412" s="5" t="s">
        <v>487</v>
      </c>
      <c r="C412" s="5" t="s">
        <v>2024</v>
      </c>
      <c r="D412" s="6">
        <v>14503</v>
      </c>
      <c r="E412" s="6">
        <v>2394886</v>
      </c>
      <c r="F412" s="1">
        <v>6.0558206110854548E-3</v>
      </c>
      <c r="H412" s="32">
        <f t="shared" si="6"/>
        <v>0</v>
      </c>
      <c r="I412" s="9" t="s">
        <v>939</v>
      </c>
      <c r="J412" s="9">
        <v>0</v>
      </c>
      <c r="K412" s="9">
        <v>0</v>
      </c>
      <c r="L412" s="9" t="s">
        <v>940</v>
      </c>
      <c r="M412" s="75">
        <v>0</v>
      </c>
      <c r="N412" s="78">
        <v>30495</v>
      </c>
      <c r="O412" s="81">
        <v>14503</v>
      </c>
    </row>
    <row r="413" spans="1:15" x14ac:dyDescent="0.25">
      <c r="B413" s="5" t="s">
        <v>488</v>
      </c>
      <c r="C413" s="5" t="s">
        <v>1668</v>
      </c>
      <c r="D413" s="6">
        <v>1040344</v>
      </c>
      <c r="E413" s="6">
        <v>117970500</v>
      </c>
      <c r="F413" s="1">
        <v>8.8186792460827074E-3</v>
      </c>
      <c r="H413" s="32">
        <f t="shared" si="6"/>
        <v>0</v>
      </c>
      <c r="I413" s="9" t="s">
        <v>937</v>
      </c>
      <c r="J413" s="9">
        <v>3</v>
      </c>
      <c r="K413" s="9">
        <v>5</v>
      </c>
      <c r="L413" s="9" t="s">
        <v>938</v>
      </c>
      <c r="M413" s="75">
        <v>0</v>
      </c>
      <c r="N413" s="78">
        <v>1226313</v>
      </c>
      <c r="O413" s="81">
        <v>1040344</v>
      </c>
    </row>
    <row r="414" spans="1:15" x14ac:dyDescent="0.25">
      <c r="A414" t="s">
        <v>1092</v>
      </c>
      <c r="B414" s="5" t="s">
        <v>489</v>
      </c>
      <c r="C414" s="5" t="s">
        <v>1093</v>
      </c>
      <c r="D414" s="6">
        <v>291938</v>
      </c>
      <c r="E414" s="6">
        <v>26369038</v>
      </c>
      <c r="F414" s="1">
        <v>1.1071241961879686E-2</v>
      </c>
      <c r="H414" s="32">
        <f t="shared" si="6"/>
        <v>0</v>
      </c>
      <c r="I414" s="9" t="s">
        <v>939</v>
      </c>
      <c r="J414" s="9">
        <v>0</v>
      </c>
      <c r="K414" s="9">
        <v>0</v>
      </c>
      <c r="L414" s="9" t="s">
        <v>940</v>
      </c>
      <c r="M414" s="75">
        <v>0</v>
      </c>
      <c r="N414" s="78">
        <v>307065</v>
      </c>
      <c r="O414" s="81">
        <v>291938</v>
      </c>
    </row>
    <row r="415" spans="1:15" x14ac:dyDescent="0.25">
      <c r="B415" s="5" t="s">
        <v>490</v>
      </c>
      <c r="C415" s="5" t="s">
        <v>2307</v>
      </c>
      <c r="D415" s="6">
        <v>20396</v>
      </c>
      <c r="E415" s="6">
        <v>3118800</v>
      </c>
      <c r="F415" s="1">
        <v>6.5396947543927154E-3</v>
      </c>
      <c r="H415" s="32">
        <f t="shared" si="6"/>
        <v>0</v>
      </c>
      <c r="I415" s="9" t="s">
        <v>939</v>
      </c>
      <c r="J415" s="9">
        <v>0</v>
      </c>
      <c r="K415" s="9">
        <v>0</v>
      </c>
      <c r="L415" s="9" t="s">
        <v>940</v>
      </c>
      <c r="M415" s="75">
        <v>0</v>
      </c>
      <c r="N415" s="78">
        <v>37549</v>
      </c>
      <c r="O415" s="81">
        <v>20396</v>
      </c>
    </row>
    <row r="416" spans="1:15" x14ac:dyDescent="0.25">
      <c r="B416" s="5" t="s">
        <v>491</v>
      </c>
      <c r="C416" s="5" t="s">
        <v>1675</v>
      </c>
      <c r="D416" s="6">
        <v>101714</v>
      </c>
      <c r="E416" s="6">
        <v>6098998</v>
      </c>
      <c r="F416" s="1">
        <v>1.6677165659014809E-2</v>
      </c>
      <c r="H416" s="32">
        <f t="shared" si="6"/>
        <v>0</v>
      </c>
      <c r="I416" s="9" t="s">
        <v>939</v>
      </c>
      <c r="J416" s="9">
        <v>0</v>
      </c>
      <c r="K416" s="9">
        <v>0</v>
      </c>
      <c r="L416" s="9" t="s">
        <v>940</v>
      </c>
      <c r="M416" s="75">
        <v>0</v>
      </c>
      <c r="N416" s="78">
        <v>69919</v>
      </c>
      <c r="O416" s="81">
        <v>101714</v>
      </c>
    </row>
    <row r="417" spans="1:15" x14ac:dyDescent="0.25">
      <c r="B417" s="5" t="s">
        <v>492</v>
      </c>
      <c r="C417" s="5" t="s">
        <v>1701</v>
      </c>
      <c r="D417" s="6">
        <v>302241</v>
      </c>
      <c r="E417" s="6">
        <v>9608400</v>
      </c>
      <c r="F417" s="1">
        <v>3.145591357562133E-2</v>
      </c>
      <c r="H417" s="32">
        <f t="shared" si="6"/>
        <v>0</v>
      </c>
      <c r="I417" s="9" t="s">
        <v>939</v>
      </c>
      <c r="J417" s="9">
        <v>0</v>
      </c>
      <c r="K417" s="9">
        <v>0</v>
      </c>
      <c r="L417" s="9" t="s">
        <v>940</v>
      </c>
      <c r="M417" s="75">
        <v>0</v>
      </c>
      <c r="N417" s="78">
        <v>115944</v>
      </c>
      <c r="O417" s="81">
        <v>302241</v>
      </c>
    </row>
    <row r="418" spans="1:15" x14ac:dyDescent="0.25">
      <c r="B418" s="5" t="s">
        <v>493</v>
      </c>
      <c r="C418" s="5" t="s">
        <v>1538</v>
      </c>
      <c r="D418" s="6">
        <v>52677</v>
      </c>
      <c r="E418" s="6">
        <v>6472000</v>
      </c>
      <c r="F418" s="1">
        <v>8.1392150803461065E-3</v>
      </c>
      <c r="H418" s="32">
        <f t="shared" si="6"/>
        <v>0</v>
      </c>
      <c r="I418" s="9" t="s">
        <v>939</v>
      </c>
      <c r="J418" s="9">
        <v>0</v>
      </c>
      <c r="K418" s="9">
        <v>0</v>
      </c>
      <c r="L418" s="9" t="s">
        <v>940</v>
      </c>
      <c r="M418" s="75">
        <v>0</v>
      </c>
      <c r="N418" s="78">
        <v>69387</v>
      </c>
      <c r="O418" s="81">
        <v>52677</v>
      </c>
    </row>
    <row r="419" spans="1:15" x14ac:dyDescent="0.25">
      <c r="B419" s="5" t="s">
        <v>494</v>
      </c>
      <c r="C419" s="5" t="s">
        <v>1630</v>
      </c>
      <c r="D419" s="6">
        <v>537394</v>
      </c>
      <c r="E419" s="6">
        <v>53838700</v>
      </c>
      <c r="F419" s="1">
        <v>9.9815560182545272E-3</v>
      </c>
      <c r="H419" s="32">
        <f t="shared" si="6"/>
        <v>0</v>
      </c>
      <c r="I419" s="9" t="s">
        <v>939</v>
      </c>
      <c r="J419" s="9">
        <v>0</v>
      </c>
      <c r="K419" s="9">
        <v>0</v>
      </c>
      <c r="L419" s="9" t="s">
        <v>940</v>
      </c>
      <c r="M419" s="75">
        <v>0</v>
      </c>
      <c r="N419" s="78">
        <v>638096</v>
      </c>
      <c r="O419" s="81">
        <v>537394</v>
      </c>
    </row>
    <row r="420" spans="1:15" x14ac:dyDescent="0.25">
      <c r="B420" s="5" t="s">
        <v>495</v>
      </c>
      <c r="C420" s="5" t="s">
        <v>2308</v>
      </c>
      <c r="D420" s="6">
        <v>6504</v>
      </c>
      <c r="E420" s="6">
        <v>3561689</v>
      </c>
      <c r="F420" s="1">
        <v>1.8260999205713918E-3</v>
      </c>
      <c r="H420" s="32">
        <f t="shared" si="6"/>
        <v>0</v>
      </c>
      <c r="I420" s="9" t="s">
        <v>939</v>
      </c>
      <c r="J420" s="9">
        <v>0</v>
      </c>
      <c r="K420" s="9">
        <v>0</v>
      </c>
      <c r="L420" s="9" t="s">
        <v>940</v>
      </c>
      <c r="M420" s="75">
        <v>0</v>
      </c>
      <c r="N420" s="78">
        <v>35068</v>
      </c>
      <c r="O420" s="81">
        <v>6504</v>
      </c>
    </row>
    <row r="421" spans="1:15" x14ac:dyDescent="0.25">
      <c r="B421" s="5" t="s">
        <v>496</v>
      </c>
      <c r="C421" s="5" t="s">
        <v>2309</v>
      </c>
      <c r="D421" s="6">
        <v>21146</v>
      </c>
      <c r="E421" s="6">
        <v>8027873</v>
      </c>
      <c r="F421" s="1">
        <v>2.6340725619351476E-3</v>
      </c>
      <c r="H421" s="32">
        <f t="shared" si="6"/>
        <v>0</v>
      </c>
      <c r="I421" s="9" t="s">
        <v>939</v>
      </c>
      <c r="J421" s="9">
        <v>0</v>
      </c>
      <c r="K421" s="9">
        <v>0</v>
      </c>
      <c r="L421" s="9" t="s">
        <v>940</v>
      </c>
      <c r="M421" s="75">
        <v>0</v>
      </c>
      <c r="N421" s="78">
        <v>80819</v>
      </c>
      <c r="O421" s="81">
        <v>21146</v>
      </c>
    </row>
    <row r="422" spans="1:15" x14ac:dyDescent="0.25">
      <c r="B422" s="5" t="s">
        <v>497</v>
      </c>
      <c r="C422" s="5" t="s">
        <v>1805</v>
      </c>
      <c r="D422" s="6">
        <v>105632</v>
      </c>
      <c r="E422" s="6">
        <v>3298228</v>
      </c>
      <c r="F422" s="1">
        <v>6.346589744553742E-2</v>
      </c>
      <c r="H422" s="32">
        <f t="shared" si="6"/>
        <v>0</v>
      </c>
      <c r="I422" s="9" t="s">
        <v>939</v>
      </c>
      <c r="J422" s="9">
        <v>0</v>
      </c>
      <c r="K422" s="9">
        <v>0</v>
      </c>
      <c r="L422" s="9" t="s">
        <v>940</v>
      </c>
      <c r="M422" s="75">
        <v>0</v>
      </c>
      <c r="N422" s="78">
        <v>39090</v>
      </c>
      <c r="O422" s="81">
        <v>105632</v>
      </c>
    </row>
    <row r="423" spans="1:15" x14ac:dyDescent="0.25">
      <c r="B423" s="5" t="s">
        <v>498</v>
      </c>
      <c r="C423" s="5" t="s">
        <v>2201</v>
      </c>
      <c r="D423" s="6">
        <v>3169676</v>
      </c>
      <c r="E423" s="6">
        <v>453242000</v>
      </c>
      <c r="F423" s="1">
        <v>6.9933413055277317E-3</v>
      </c>
      <c r="H423" s="32">
        <f t="shared" si="6"/>
        <v>1.3955017407918949E-2</v>
      </c>
      <c r="I423" s="9" t="s">
        <v>939</v>
      </c>
      <c r="J423" s="9">
        <v>0</v>
      </c>
      <c r="K423" s="9">
        <v>0</v>
      </c>
      <c r="L423" s="9" t="s">
        <v>940</v>
      </c>
      <c r="M423" s="75">
        <v>6325000</v>
      </c>
      <c r="N423" s="78">
        <v>4810249</v>
      </c>
      <c r="O423" s="81">
        <v>3169676</v>
      </c>
    </row>
    <row r="424" spans="1:15" x14ac:dyDescent="0.25">
      <c r="B424" s="5" t="s">
        <v>499</v>
      </c>
      <c r="C424" s="5" t="s">
        <v>2203</v>
      </c>
      <c r="D424" s="6">
        <v>38998</v>
      </c>
      <c r="E424" s="6">
        <v>2584500</v>
      </c>
      <c r="F424" s="1">
        <v>1.5089185529115883E-2</v>
      </c>
      <c r="H424" s="32">
        <f t="shared" si="6"/>
        <v>0</v>
      </c>
      <c r="I424" s="9" t="s">
        <v>939</v>
      </c>
      <c r="J424" s="9">
        <v>0</v>
      </c>
      <c r="K424" s="9">
        <v>0</v>
      </c>
      <c r="L424" s="9" t="s">
        <v>940</v>
      </c>
      <c r="M424" s="75">
        <v>0</v>
      </c>
      <c r="N424" s="78">
        <v>691512</v>
      </c>
      <c r="O424" s="81">
        <v>38998</v>
      </c>
    </row>
    <row r="425" spans="1:15" x14ac:dyDescent="0.25">
      <c r="A425" t="s">
        <v>1094</v>
      </c>
      <c r="B425" s="5" t="s">
        <v>500</v>
      </c>
      <c r="C425" s="5" t="s">
        <v>1095</v>
      </c>
      <c r="D425" s="6">
        <v>175321</v>
      </c>
      <c r="E425" s="6">
        <v>24519600</v>
      </c>
      <c r="F425" s="1">
        <v>7.2047260151062824E-3</v>
      </c>
      <c r="H425" s="32">
        <f t="shared" si="6"/>
        <v>0</v>
      </c>
      <c r="I425" s="9" t="s">
        <v>939</v>
      </c>
      <c r="J425" s="9">
        <v>0</v>
      </c>
      <c r="K425" s="9">
        <v>0</v>
      </c>
      <c r="L425" s="9" t="s">
        <v>940</v>
      </c>
      <c r="M425" s="75">
        <v>0</v>
      </c>
      <c r="N425" s="78">
        <v>32757</v>
      </c>
      <c r="O425" s="81">
        <v>175321</v>
      </c>
    </row>
    <row r="426" spans="1:15" x14ac:dyDescent="0.25">
      <c r="B426" s="5" t="s">
        <v>501</v>
      </c>
      <c r="C426" s="5" t="s">
        <v>1981</v>
      </c>
      <c r="D426" s="6">
        <v>256893</v>
      </c>
      <c r="E426" s="6">
        <v>23343636</v>
      </c>
      <c r="F426" s="1">
        <v>1.1004840891110536E-2</v>
      </c>
      <c r="H426" s="32">
        <f t="shared" si="6"/>
        <v>0</v>
      </c>
      <c r="I426" s="9" t="s">
        <v>937</v>
      </c>
      <c r="J426" s="9">
        <v>3</v>
      </c>
      <c r="K426" s="9">
        <v>5</v>
      </c>
      <c r="L426" s="9" t="s">
        <v>938</v>
      </c>
      <c r="M426" s="75">
        <v>0</v>
      </c>
      <c r="N426" s="78">
        <v>272069</v>
      </c>
      <c r="O426" s="81">
        <v>256893</v>
      </c>
    </row>
    <row r="427" spans="1:15" x14ac:dyDescent="0.25">
      <c r="B427" s="5" t="s">
        <v>502</v>
      </c>
      <c r="C427" s="5" t="s">
        <v>1991</v>
      </c>
      <c r="D427" s="6">
        <v>73972</v>
      </c>
      <c r="E427" s="6">
        <v>3653900</v>
      </c>
      <c r="F427" s="1">
        <v>2.0244670078546211E-2</v>
      </c>
      <c r="H427" s="32">
        <f t="shared" si="6"/>
        <v>0</v>
      </c>
      <c r="I427" s="9" t="s">
        <v>939</v>
      </c>
      <c r="J427" s="9">
        <v>0</v>
      </c>
      <c r="K427" s="9">
        <v>0</v>
      </c>
      <c r="L427" s="9" t="s">
        <v>940</v>
      </c>
      <c r="M427" s="75">
        <v>0</v>
      </c>
      <c r="N427" s="78">
        <v>243419</v>
      </c>
      <c r="O427" s="81">
        <v>73972</v>
      </c>
    </row>
    <row r="428" spans="1:15" x14ac:dyDescent="0.25">
      <c r="B428" s="5" t="s">
        <v>503</v>
      </c>
      <c r="C428" s="5" t="s">
        <v>1557</v>
      </c>
      <c r="D428" s="6">
        <v>3712446</v>
      </c>
      <c r="E428" s="6">
        <v>503285700</v>
      </c>
      <c r="F428" s="1">
        <v>7.3764186027936024E-3</v>
      </c>
      <c r="H428" s="32">
        <f t="shared" si="6"/>
        <v>1.2338916047088164E-3</v>
      </c>
      <c r="I428" s="9" t="s">
        <v>943</v>
      </c>
      <c r="J428" s="9">
        <v>2</v>
      </c>
      <c r="K428" s="9">
        <v>3</v>
      </c>
      <c r="L428" s="9" t="s">
        <v>938</v>
      </c>
      <c r="M428" s="75">
        <v>621000</v>
      </c>
      <c r="N428" s="78">
        <v>48152</v>
      </c>
      <c r="O428" s="81">
        <v>3712446</v>
      </c>
    </row>
    <row r="429" spans="1:15" x14ac:dyDescent="0.25">
      <c r="B429" s="5" t="s">
        <v>504</v>
      </c>
      <c r="C429" s="5" t="s">
        <v>1479</v>
      </c>
      <c r="D429" s="6">
        <v>1118664</v>
      </c>
      <c r="E429" s="6">
        <v>159627800</v>
      </c>
      <c r="F429" s="1">
        <v>7.0079522489190482E-3</v>
      </c>
      <c r="H429" s="32">
        <f t="shared" si="6"/>
        <v>0</v>
      </c>
      <c r="I429" s="9" t="s">
        <v>943</v>
      </c>
      <c r="J429" s="9">
        <v>2</v>
      </c>
      <c r="K429" s="9">
        <v>3</v>
      </c>
      <c r="L429" s="9" t="s">
        <v>938</v>
      </c>
      <c r="M429" s="75">
        <v>0</v>
      </c>
      <c r="N429" s="78">
        <v>5772399</v>
      </c>
      <c r="O429" s="81">
        <v>1118664</v>
      </c>
    </row>
    <row r="430" spans="1:15" x14ac:dyDescent="0.25">
      <c r="B430" s="5" t="s">
        <v>505</v>
      </c>
      <c r="C430" s="5" t="s">
        <v>1635</v>
      </c>
      <c r="D430" s="6">
        <v>4991629</v>
      </c>
      <c r="E430" s="6">
        <v>2009618900</v>
      </c>
      <c r="F430" s="1">
        <v>2.6190169688392164E-3</v>
      </c>
      <c r="H430" s="32">
        <f t="shared" si="6"/>
        <v>8.7827597560910682E-4</v>
      </c>
      <c r="I430" s="9" t="s">
        <v>941</v>
      </c>
      <c r="J430" s="9">
        <v>2</v>
      </c>
      <c r="K430" s="9">
        <v>2</v>
      </c>
      <c r="L430" s="9" t="s">
        <v>938</v>
      </c>
      <c r="M430" s="75">
        <v>1765000</v>
      </c>
      <c r="N430" s="78">
        <v>1723350</v>
      </c>
      <c r="O430" s="81">
        <v>4991629</v>
      </c>
    </row>
    <row r="431" spans="1:15" x14ac:dyDescent="0.25">
      <c r="B431" s="5" t="s">
        <v>506</v>
      </c>
      <c r="C431" s="5" t="s">
        <v>2310</v>
      </c>
      <c r="D431" s="6">
        <v>21994</v>
      </c>
      <c r="E431" s="6">
        <v>5735700</v>
      </c>
      <c r="F431" s="1">
        <v>3.8345799117806023E-3</v>
      </c>
      <c r="H431" s="32">
        <f t="shared" si="6"/>
        <v>4.6559269138901964</v>
      </c>
      <c r="I431" s="9" t="s">
        <v>939</v>
      </c>
      <c r="J431" s="9">
        <v>0</v>
      </c>
      <c r="K431" s="9">
        <v>0</v>
      </c>
      <c r="L431" s="9" t="s">
        <v>940</v>
      </c>
      <c r="M431" s="75">
        <v>26705000</v>
      </c>
      <c r="N431" s="78">
        <v>21116953</v>
      </c>
      <c r="O431" s="81">
        <v>21994</v>
      </c>
    </row>
    <row r="432" spans="1:15" x14ac:dyDescent="0.25">
      <c r="B432" s="5" t="s">
        <v>507</v>
      </c>
      <c r="C432" s="5" t="s">
        <v>1852</v>
      </c>
      <c r="D432" s="6">
        <v>133002</v>
      </c>
      <c r="E432" s="6">
        <v>7991423</v>
      </c>
      <c r="F432" s="1">
        <v>1.6643093476593592E-2</v>
      </c>
      <c r="H432" s="32">
        <f t="shared" si="6"/>
        <v>1.5289141871228691E-2</v>
      </c>
      <c r="I432" s="9" t="s">
        <v>939</v>
      </c>
      <c r="J432" s="9">
        <v>0</v>
      </c>
      <c r="K432" s="9">
        <v>0</v>
      </c>
      <c r="L432" s="9" t="s">
        <v>940</v>
      </c>
      <c r="M432" s="75">
        <v>122182</v>
      </c>
      <c r="N432" s="78">
        <v>71647</v>
      </c>
      <c r="O432" s="81">
        <v>133002</v>
      </c>
    </row>
    <row r="433" spans="1:15" x14ac:dyDescent="0.25">
      <c r="B433" s="5" t="s">
        <v>508</v>
      </c>
      <c r="C433" s="5" t="s">
        <v>1469</v>
      </c>
      <c r="D433" s="6">
        <v>187866</v>
      </c>
      <c r="E433" s="6">
        <v>44740200</v>
      </c>
      <c r="F433" s="1">
        <v>4.1990424718709347E-3</v>
      </c>
      <c r="H433" s="32">
        <f t="shared" si="6"/>
        <v>0</v>
      </c>
      <c r="I433" s="9" t="s">
        <v>939</v>
      </c>
      <c r="J433" s="9">
        <v>0</v>
      </c>
      <c r="K433" s="9">
        <v>0</v>
      </c>
      <c r="L433" s="9" t="s">
        <v>940</v>
      </c>
      <c r="M433" s="75">
        <v>0</v>
      </c>
      <c r="N433" s="78">
        <v>84973</v>
      </c>
      <c r="O433" s="81">
        <v>187866</v>
      </c>
    </row>
    <row r="434" spans="1:15" x14ac:dyDescent="0.25">
      <c r="B434" s="5" t="s">
        <v>509</v>
      </c>
      <c r="C434" s="5" t="s">
        <v>2311</v>
      </c>
      <c r="D434" s="6">
        <v>521739</v>
      </c>
      <c r="E434" s="6">
        <v>126709100</v>
      </c>
      <c r="F434" s="1">
        <v>4.6286257261712064E-3</v>
      </c>
      <c r="H434" s="32">
        <f t="shared" si="6"/>
        <v>0</v>
      </c>
      <c r="I434" s="9" t="s">
        <v>939</v>
      </c>
      <c r="J434" s="9">
        <v>0</v>
      </c>
      <c r="K434" s="9">
        <v>0</v>
      </c>
      <c r="L434" s="9" t="s">
        <v>940</v>
      </c>
      <c r="M434" s="75">
        <v>0</v>
      </c>
      <c r="N434" s="78">
        <v>524769</v>
      </c>
      <c r="O434" s="81">
        <v>521739</v>
      </c>
    </row>
    <row r="435" spans="1:15" x14ac:dyDescent="0.25">
      <c r="B435" s="5" t="s">
        <v>510</v>
      </c>
      <c r="C435" s="5" t="s">
        <v>2312</v>
      </c>
      <c r="D435" s="6">
        <v>1402689</v>
      </c>
      <c r="E435" s="6">
        <v>563539289</v>
      </c>
      <c r="F435" s="1">
        <v>2.4890704647923846E-3</v>
      </c>
      <c r="H435" s="32">
        <f t="shared" si="6"/>
        <v>0</v>
      </c>
      <c r="I435" s="9" t="s">
        <v>942</v>
      </c>
      <c r="J435" s="9">
        <v>2</v>
      </c>
      <c r="K435" s="9">
        <v>4</v>
      </c>
      <c r="L435" s="9" t="s">
        <v>938</v>
      </c>
      <c r="M435" s="75">
        <v>0</v>
      </c>
      <c r="N435" s="78">
        <v>1281060</v>
      </c>
      <c r="O435" s="81">
        <v>1402689</v>
      </c>
    </row>
    <row r="436" spans="1:15" x14ac:dyDescent="0.25">
      <c r="B436" s="5" t="s">
        <v>511</v>
      </c>
      <c r="C436" s="5" t="s">
        <v>1535</v>
      </c>
      <c r="D436" s="6">
        <v>84072</v>
      </c>
      <c r="E436" s="6">
        <v>8543058</v>
      </c>
      <c r="F436" s="1">
        <v>9.8409726353256653E-3</v>
      </c>
      <c r="H436" s="32">
        <f t="shared" si="6"/>
        <v>0.22767023236878411</v>
      </c>
      <c r="I436" s="9" t="s">
        <v>939</v>
      </c>
      <c r="J436" s="9">
        <v>0</v>
      </c>
      <c r="K436" s="9">
        <v>0</v>
      </c>
      <c r="L436" s="9" t="s">
        <v>940</v>
      </c>
      <c r="M436" s="75">
        <v>1945000</v>
      </c>
      <c r="N436" s="78">
        <v>5987223</v>
      </c>
      <c r="O436" s="81">
        <v>84072</v>
      </c>
    </row>
    <row r="437" spans="1:15" x14ac:dyDescent="0.25">
      <c r="A437" t="s">
        <v>1096</v>
      </c>
      <c r="B437" s="5" t="s">
        <v>512</v>
      </c>
      <c r="C437" s="5" t="s">
        <v>1097</v>
      </c>
      <c r="D437" s="6">
        <v>700971</v>
      </c>
      <c r="E437" s="6">
        <v>67645100</v>
      </c>
      <c r="F437" s="1">
        <v>1.0362480061379169E-2</v>
      </c>
      <c r="H437" s="32">
        <f t="shared" si="6"/>
        <v>4.3270392090484014E-3</v>
      </c>
      <c r="I437" s="9" t="s">
        <v>937</v>
      </c>
      <c r="J437" s="9">
        <v>3</v>
      </c>
      <c r="K437" s="9">
        <v>5</v>
      </c>
      <c r="L437" s="9" t="s">
        <v>938</v>
      </c>
      <c r="M437" s="75">
        <v>292703</v>
      </c>
      <c r="N437" s="78">
        <v>99578</v>
      </c>
      <c r="O437" s="81">
        <v>700971</v>
      </c>
    </row>
    <row r="438" spans="1:15" x14ac:dyDescent="0.25">
      <c r="B438" s="5" t="s">
        <v>513</v>
      </c>
      <c r="C438" s="5" t="s">
        <v>2204</v>
      </c>
      <c r="D438" s="6">
        <v>913239</v>
      </c>
      <c r="E438" s="6">
        <v>263943600</v>
      </c>
      <c r="F438" s="1">
        <v>3.7743858915313725E-3</v>
      </c>
      <c r="H438" s="32">
        <f t="shared" si="6"/>
        <v>0</v>
      </c>
      <c r="I438" s="9" t="s">
        <v>946</v>
      </c>
      <c r="J438" s="9">
        <v>3</v>
      </c>
      <c r="K438" s="9">
        <v>6</v>
      </c>
      <c r="L438" s="9" t="s">
        <v>949</v>
      </c>
      <c r="M438" s="75">
        <v>0</v>
      </c>
      <c r="N438" s="78">
        <v>760466</v>
      </c>
      <c r="O438" s="81">
        <v>913239</v>
      </c>
    </row>
    <row r="439" spans="1:15" x14ac:dyDescent="0.25">
      <c r="B439" s="5" t="s">
        <v>514</v>
      </c>
      <c r="C439" s="5" t="s">
        <v>2313</v>
      </c>
      <c r="D439" s="6">
        <v>158997</v>
      </c>
      <c r="E439" s="6">
        <v>62964300</v>
      </c>
      <c r="F439" s="1">
        <v>2.6254877764066305E-3</v>
      </c>
      <c r="H439" s="32">
        <f t="shared" si="6"/>
        <v>0</v>
      </c>
      <c r="I439" s="9" t="s">
        <v>939</v>
      </c>
      <c r="J439" s="9">
        <v>0</v>
      </c>
      <c r="K439" s="9">
        <v>0</v>
      </c>
      <c r="L439" s="9" t="s">
        <v>940</v>
      </c>
      <c r="M439" s="75">
        <v>0</v>
      </c>
      <c r="N439" s="78">
        <v>2733533</v>
      </c>
      <c r="O439" s="81">
        <v>158997</v>
      </c>
    </row>
    <row r="440" spans="1:15" x14ac:dyDescent="0.25">
      <c r="B440" s="5" t="s">
        <v>515</v>
      </c>
      <c r="C440" s="5" t="s">
        <v>1542</v>
      </c>
      <c r="D440" s="6">
        <v>30678837</v>
      </c>
      <c r="E440" s="6">
        <v>8636750062</v>
      </c>
      <c r="F440" s="1">
        <v>3.9337772606716425E-3</v>
      </c>
      <c r="H440" s="32">
        <f t="shared" si="6"/>
        <v>0</v>
      </c>
      <c r="I440" s="9" t="s">
        <v>939</v>
      </c>
      <c r="J440" s="9">
        <v>0</v>
      </c>
      <c r="K440" s="9">
        <v>0</v>
      </c>
      <c r="L440" s="9" t="s">
        <v>940</v>
      </c>
      <c r="M440" s="75">
        <v>0</v>
      </c>
      <c r="N440" s="78">
        <v>679959</v>
      </c>
      <c r="O440" s="81">
        <v>30678837</v>
      </c>
    </row>
    <row r="441" spans="1:15" x14ac:dyDescent="0.25">
      <c r="B441" s="5" t="s">
        <v>516</v>
      </c>
      <c r="C441" s="5" t="s">
        <v>1662</v>
      </c>
      <c r="D441" s="6">
        <v>770124</v>
      </c>
      <c r="E441" s="6">
        <v>30949086</v>
      </c>
      <c r="F441" s="1">
        <v>2.4883578145086419E-2</v>
      </c>
      <c r="H441" s="32">
        <f t="shared" si="6"/>
        <v>1.5010136325189054</v>
      </c>
      <c r="I441" s="9" t="s">
        <v>945</v>
      </c>
      <c r="J441" s="9">
        <v>3</v>
      </c>
      <c r="K441" s="9">
        <v>7</v>
      </c>
      <c r="L441" s="9" t="s">
        <v>938</v>
      </c>
      <c r="M441" s="75">
        <v>46455000</v>
      </c>
      <c r="N441" s="78">
        <v>89298880</v>
      </c>
      <c r="O441" s="81">
        <v>770124</v>
      </c>
    </row>
    <row r="442" spans="1:15" x14ac:dyDescent="0.25">
      <c r="B442" s="5" t="s">
        <v>517</v>
      </c>
      <c r="C442" s="5" t="s">
        <v>1946</v>
      </c>
      <c r="D442" s="6">
        <v>102994</v>
      </c>
      <c r="E442" s="6">
        <v>11767700</v>
      </c>
      <c r="F442" s="1">
        <v>8.7522625491812337E-3</v>
      </c>
      <c r="H442" s="32">
        <f t="shared" si="6"/>
        <v>0.44693525497760822</v>
      </c>
      <c r="I442" s="9" t="s">
        <v>939</v>
      </c>
      <c r="J442" s="9">
        <v>0</v>
      </c>
      <c r="K442" s="9">
        <v>0</v>
      </c>
      <c r="L442" s="9" t="s">
        <v>940</v>
      </c>
      <c r="M442" s="75">
        <v>5259400</v>
      </c>
      <c r="N442" s="78">
        <v>403501</v>
      </c>
      <c r="O442" s="81">
        <v>102994</v>
      </c>
    </row>
    <row r="443" spans="1:15" x14ac:dyDescent="0.25">
      <c r="B443" s="5" t="s">
        <v>518</v>
      </c>
      <c r="C443" s="5" t="s">
        <v>2314</v>
      </c>
      <c r="D443" s="6">
        <v>81999</v>
      </c>
      <c r="E443" s="6">
        <v>10310200</v>
      </c>
      <c r="F443" s="1">
        <v>5.7586952726426256E-2</v>
      </c>
      <c r="H443" s="32">
        <f t="shared" si="6"/>
        <v>0</v>
      </c>
      <c r="I443" s="9" t="s">
        <v>939</v>
      </c>
      <c r="J443" s="9">
        <v>0</v>
      </c>
      <c r="K443" s="9">
        <v>0</v>
      </c>
      <c r="L443" s="9" t="s">
        <v>940</v>
      </c>
      <c r="M443" s="75">
        <v>0</v>
      </c>
      <c r="N443" s="78">
        <v>132203</v>
      </c>
      <c r="O443" s="81">
        <v>81999</v>
      </c>
    </row>
    <row r="444" spans="1:15" x14ac:dyDescent="0.25">
      <c r="B444" s="5" t="s">
        <v>519</v>
      </c>
      <c r="C444" s="5" t="s">
        <v>1906</v>
      </c>
      <c r="D444" s="6">
        <v>676224</v>
      </c>
      <c r="E444" s="6">
        <v>68430200</v>
      </c>
      <c r="F444" s="1">
        <v>9.8819527050921958E-3</v>
      </c>
      <c r="H444" s="32">
        <f t="shared" si="6"/>
        <v>0</v>
      </c>
      <c r="I444" s="9" t="s">
        <v>937</v>
      </c>
      <c r="J444" s="9">
        <v>3</v>
      </c>
      <c r="K444" s="9">
        <v>5</v>
      </c>
      <c r="L444" s="9" t="s">
        <v>938</v>
      </c>
      <c r="M444" s="75">
        <v>0</v>
      </c>
      <c r="N444" s="78">
        <v>127150</v>
      </c>
      <c r="O444" s="81">
        <v>676224</v>
      </c>
    </row>
    <row r="445" spans="1:15" x14ac:dyDescent="0.25">
      <c r="B445" s="5" t="s">
        <v>520</v>
      </c>
      <c r="C445" s="5" t="s">
        <v>1633</v>
      </c>
      <c r="D445" s="6">
        <v>67235</v>
      </c>
      <c r="E445" s="6">
        <v>8606400</v>
      </c>
      <c r="F445" s="1">
        <v>7.8122095184978623E-3</v>
      </c>
      <c r="H445" s="32">
        <f t="shared" si="6"/>
        <v>4.6709425543781373E-2</v>
      </c>
      <c r="I445" s="9" t="s">
        <v>939</v>
      </c>
      <c r="J445" s="9">
        <v>0</v>
      </c>
      <c r="K445" s="9">
        <v>0</v>
      </c>
      <c r="L445" s="9" t="s">
        <v>940</v>
      </c>
      <c r="M445" s="75">
        <v>402000</v>
      </c>
      <c r="N445" s="78">
        <v>707337</v>
      </c>
      <c r="O445" s="81">
        <v>67235</v>
      </c>
    </row>
    <row r="446" spans="1:15" x14ac:dyDescent="0.25">
      <c r="B446" s="5" t="s">
        <v>521</v>
      </c>
      <c r="C446" s="5" t="s">
        <v>2315</v>
      </c>
      <c r="D446" s="6">
        <v>285159</v>
      </c>
      <c r="E446" s="6">
        <v>61084556</v>
      </c>
      <c r="F446" s="1">
        <v>4.8935773552974664E-3</v>
      </c>
      <c r="H446" s="32">
        <f t="shared" si="6"/>
        <v>9.7405962973685194E-3</v>
      </c>
      <c r="I446" s="9" t="s">
        <v>939</v>
      </c>
      <c r="J446" s="9">
        <v>0</v>
      </c>
      <c r="K446" s="9">
        <v>0</v>
      </c>
      <c r="L446" s="9" t="s">
        <v>940</v>
      </c>
      <c r="M446" s="75">
        <v>595000</v>
      </c>
      <c r="N446" s="78">
        <v>94356</v>
      </c>
      <c r="O446" s="81">
        <v>285159</v>
      </c>
    </row>
    <row r="447" spans="1:15" x14ac:dyDescent="0.25">
      <c r="B447" s="5" t="s">
        <v>522</v>
      </c>
      <c r="C447" s="5" t="s">
        <v>2316</v>
      </c>
      <c r="D447" s="6">
        <v>27000</v>
      </c>
      <c r="E447" s="6">
        <v>5386800</v>
      </c>
      <c r="F447" s="1">
        <v>5.0122521719759413E-3</v>
      </c>
      <c r="H447" s="32">
        <f t="shared" si="6"/>
        <v>0</v>
      </c>
      <c r="I447" s="9" t="s">
        <v>939</v>
      </c>
      <c r="J447" s="9">
        <v>0</v>
      </c>
      <c r="K447" s="9">
        <v>0</v>
      </c>
      <c r="L447" s="9" t="s">
        <v>940</v>
      </c>
      <c r="M447" s="75">
        <v>0</v>
      </c>
      <c r="N447" s="78">
        <v>65240</v>
      </c>
      <c r="O447" s="81">
        <v>27000</v>
      </c>
    </row>
    <row r="448" spans="1:15" x14ac:dyDescent="0.25">
      <c r="B448" s="5" t="s">
        <v>523</v>
      </c>
      <c r="C448" s="5" t="s">
        <v>2317</v>
      </c>
      <c r="D448" s="6">
        <v>753395</v>
      </c>
      <c r="E448" s="6">
        <v>240059000</v>
      </c>
      <c r="F448" s="1">
        <v>3.7479161372829181E-3</v>
      </c>
      <c r="H448" s="32">
        <f t="shared" si="6"/>
        <v>3.7490783515719051E-3</v>
      </c>
      <c r="I448" s="9" t="s">
        <v>943</v>
      </c>
      <c r="J448" s="9">
        <v>2</v>
      </c>
      <c r="K448" s="9">
        <v>3</v>
      </c>
      <c r="L448" s="9" t="s">
        <v>938</v>
      </c>
      <c r="M448" s="75">
        <v>900000</v>
      </c>
      <c r="N448" s="78">
        <v>2716604</v>
      </c>
      <c r="O448" s="81">
        <v>753395</v>
      </c>
    </row>
    <row r="449" spans="1:15" x14ac:dyDescent="0.25">
      <c r="A449" t="s">
        <v>1098</v>
      </c>
      <c r="B449" s="5" t="s">
        <v>524</v>
      </c>
      <c r="C449" s="5" t="s">
        <v>1099</v>
      </c>
      <c r="D449" s="6">
        <v>1134785</v>
      </c>
      <c r="E449" s="6">
        <v>135406700</v>
      </c>
      <c r="F449" s="1">
        <v>8.3805675790045841E-3</v>
      </c>
      <c r="H449" s="32">
        <f t="shared" si="6"/>
        <v>0</v>
      </c>
      <c r="I449" s="9" t="s">
        <v>937</v>
      </c>
      <c r="J449" s="9">
        <v>3</v>
      </c>
      <c r="K449" s="9">
        <v>5</v>
      </c>
      <c r="L449" s="9" t="s">
        <v>938</v>
      </c>
      <c r="M449" s="75">
        <v>0</v>
      </c>
      <c r="N449" s="78">
        <v>1539824</v>
      </c>
      <c r="O449" s="81">
        <v>1134785</v>
      </c>
    </row>
    <row r="450" spans="1:15" x14ac:dyDescent="0.25">
      <c r="A450" t="s">
        <v>1146</v>
      </c>
      <c r="B450" s="5" t="s">
        <v>525</v>
      </c>
      <c r="C450" s="5" t="s">
        <v>1147</v>
      </c>
      <c r="D450" s="6">
        <v>2481162</v>
      </c>
      <c r="E450" s="6">
        <v>289451300</v>
      </c>
      <c r="F450" s="1">
        <v>9.1420076537918477E-3</v>
      </c>
      <c r="H450" s="32">
        <f t="shared" si="6"/>
        <v>3.4029904166953132E-2</v>
      </c>
      <c r="I450" s="9" t="s">
        <v>937</v>
      </c>
      <c r="J450" s="9">
        <v>3</v>
      </c>
      <c r="K450" s="9">
        <v>5</v>
      </c>
      <c r="L450" s="9" t="s">
        <v>949</v>
      </c>
      <c r="M450" s="75">
        <v>9850000</v>
      </c>
      <c r="N450" s="78">
        <v>3460617</v>
      </c>
      <c r="O450" s="81">
        <v>2481162</v>
      </c>
    </row>
    <row r="451" spans="1:15" x14ac:dyDescent="0.25">
      <c r="B451" s="5" t="s">
        <v>526</v>
      </c>
      <c r="C451" s="5" t="s">
        <v>2318</v>
      </c>
      <c r="D451" s="6">
        <v>12997</v>
      </c>
      <c r="E451" s="6">
        <v>3597300</v>
      </c>
      <c r="F451" s="1">
        <v>3.6129875184165903E-3</v>
      </c>
      <c r="H451" s="32">
        <f t="shared" si="6"/>
        <v>0</v>
      </c>
      <c r="I451" s="9" t="s">
        <v>939</v>
      </c>
      <c r="J451" s="9">
        <v>0</v>
      </c>
      <c r="K451" s="9">
        <v>0</v>
      </c>
      <c r="L451" s="9" t="s">
        <v>940</v>
      </c>
      <c r="M451" s="75">
        <v>0</v>
      </c>
      <c r="N451" s="78">
        <v>39642</v>
      </c>
      <c r="O451" s="81">
        <v>12997</v>
      </c>
    </row>
    <row r="452" spans="1:15" x14ac:dyDescent="0.25">
      <c r="B452" s="5" t="s">
        <v>527</v>
      </c>
      <c r="C452" s="5" t="s">
        <v>2319</v>
      </c>
      <c r="D452" s="6">
        <v>3999</v>
      </c>
      <c r="E452" s="6">
        <v>1690700</v>
      </c>
      <c r="F452" s="1">
        <v>2.3652924824037382E-3</v>
      </c>
      <c r="H452" s="32">
        <f t="shared" si="6"/>
        <v>0</v>
      </c>
      <c r="I452" s="9" t="s">
        <v>939</v>
      </c>
      <c r="J452" s="9">
        <v>0</v>
      </c>
      <c r="K452" s="9">
        <v>0</v>
      </c>
      <c r="L452" s="9" t="s">
        <v>940</v>
      </c>
      <c r="M452" s="75">
        <v>0</v>
      </c>
      <c r="N452" s="78">
        <v>19156</v>
      </c>
      <c r="O452" s="81">
        <v>3999</v>
      </c>
    </row>
    <row r="453" spans="1:15" x14ac:dyDescent="0.25">
      <c r="B453" s="5" t="s">
        <v>528</v>
      </c>
      <c r="C453" s="5" t="s">
        <v>2320</v>
      </c>
      <c r="D453" s="6">
        <v>20907</v>
      </c>
      <c r="E453" s="6">
        <v>3006683</v>
      </c>
      <c r="F453" s="1">
        <v>8.3151432991106812E-3</v>
      </c>
      <c r="H453" s="32">
        <f t="shared" ref="H453:H516" si="7">M453/E453</f>
        <v>0</v>
      </c>
      <c r="I453" s="9" t="s">
        <v>939</v>
      </c>
      <c r="J453" s="9">
        <v>0</v>
      </c>
      <c r="K453" s="9">
        <v>0</v>
      </c>
      <c r="L453" s="9" t="s">
        <v>940</v>
      </c>
      <c r="M453" s="75">
        <v>0</v>
      </c>
      <c r="N453" s="78">
        <v>39437</v>
      </c>
      <c r="O453" s="81">
        <v>20907</v>
      </c>
    </row>
    <row r="454" spans="1:15" x14ac:dyDescent="0.25">
      <c r="B454" s="5" t="s">
        <v>529</v>
      </c>
      <c r="C454" s="5" t="s">
        <v>2321</v>
      </c>
      <c r="D454" s="6">
        <v>500010</v>
      </c>
      <c r="E454" s="6">
        <v>36452800</v>
      </c>
      <c r="F454" s="1">
        <v>1.3716641794320326E-2</v>
      </c>
      <c r="H454" s="32">
        <f t="shared" si="7"/>
        <v>0</v>
      </c>
      <c r="I454" s="9" t="s">
        <v>937</v>
      </c>
      <c r="J454" s="9">
        <v>3</v>
      </c>
      <c r="K454" s="9">
        <v>5</v>
      </c>
      <c r="L454" s="9" t="s">
        <v>938</v>
      </c>
      <c r="M454" s="75">
        <v>0</v>
      </c>
      <c r="N454" s="78">
        <v>435109</v>
      </c>
      <c r="O454" s="81">
        <v>500010</v>
      </c>
    </row>
    <row r="455" spans="1:15" x14ac:dyDescent="0.25">
      <c r="A455" t="s">
        <v>1101</v>
      </c>
      <c r="B455" s="5" t="s">
        <v>530</v>
      </c>
      <c r="C455" s="5" t="s">
        <v>1101</v>
      </c>
      <c r="D455" s="6">
        <v>1086126</v>
      </c>
      <c r="E455" s="6">
        <v>114393600</v>
      </c>
      <c r="F455" s="1">
        <v>9.4946395602551192E-3</v>
      </c>
      <c r="H455" s="32">
        <f t="shared" si="7"/>
        <v>0</v>
      </c>
      <c r="I455" s="9" t="s">
        <v>939</v>
      </c>
      <c r="J455" s="9">
        <v>0</v>
      </c>
      <c r="K455" s="9">
        <v>0</v>
      </c>
      <c r="L455" s="9" t="s">
        <v>940</v>
      </c>
      <c r="M455" s="75">
        <v>0</v>
      </c>
      <c r="N455" s="78">
        <v>1261437</v>
      </c>
      <c r="O455" s="81">
        <v>1086126</v>
      </c>
    </row>
    <row r="456" spans="1:15" x14ac:dyDescent="0.25">
      <c r="A456" t="s">
        <v>1102</v>
      </c>
      <c r="B456" s="5" t="s">
        <v>531</v>
      </c>
      <c r="C456" s="5" t="s">
        <v>1103</v>
      </c>
      <c r="D456" s="6">
        <v>1002322</v>
      </c>
      <c r="E456" s="6">
        <v>85161100</v>
      </c>
      <c r="F456" s="1">
        <v>1.1769716455048138E-2</v>
      </c>
      <c r="H456" s="32">
        <f t="shared" si="7"/>
        <v>4.7322075454638325E-2</v>
      </c>
      <c r="I456" s="9" t="s">
        <v>937</v>
      </c>
      <c r="J456" s="9">
        <v>3</v>
      </c>
      <c r="K456" s="9">
        <v>5</v>
      </c>
      <c r="L456" s="9" t="s">
        <v>938</v>
      </c>
      <c r="M456" s="75">
        <v>4030000</v>
      </c>
      <c r="N456" s="78">
        <v>979528</v>
      </c>
      <c r="O456" s="81">
        <v>1002322</v>
      </c>
    </row>
    <row r="457" spans="1:15" x14ac:dyDescent="0.25">
      <c r="B457" s="5" t="s">
        <v>532</v>
      </c>
      <c r="C457" s="5" t="s">
        <v>1987</v>
      </c>
      <c r="D457" s="6">
        <v>92494</v>
      </c>
      <c r="E457" s="6">
        <v>6029800</v>
      </c>
      <c r="F457" s="1">
        <v>1.5339480579787058E-2</v>
      </c>
      <c r="H457" s="32">
        <f t="shared" si="7"/>
        <v>0</v>
      </c>
      <c r="I457" s="9" t="s">
        <v>939</v>
      </c>
      <c r="J457" s="9">
        <v>0</v>
      </c>
      <c r="K457" s="9">
        <v>0</v>
      </c>
      <c r="L457" s="9" t="s">
        <v>940</v>
      </c>
      <c r="M457" s="75">
        <v>0</v>
      </c>
      <c r="N457" s="78">
        <v>72787</v>
      </c>
      <c r="O457" s="81">
        <v>92494</v>
      </c>
    </row>
    <row r="458" spans="1:15" x14ac:dyDescent="0.25">
      <c r="B458" s="5" t="s">
        <v>533</v>
      </c>
      <c r="C458" s="5" t="s">
        <v>1812</v>
      </c>
      <c r="D458" s="6">
        <v>830279</v>
      </c>
      <c r="E458" s="6">
        <v>197090103</v>
      </c>
      <c r="F458" s="1">
        <v>6.0956840638517499E-3</v>
      </c>
      <c r="H458" s="32">
        <f t="shared" si="7"/>
        <v>0</v>
      </c>
      <c r="I458" s="9" t="s">
        <v>943</v>
      </c>
      <c r="J458" s="9">
        <v>2</v>
      </c>
      <c r="K458" s="9">
        <v>3</v>
      </c>
      <c r="L458" s="9" t="s">
        <v>938</v>
      </c>
      <c r="M458" s="75">
        <v>0</v>
      </c>
      <c r="N458" s="78">
        <v>1857258</v>
      </c>
      <c r="O458" s="81">
        <v>830279</v>
      </c>
    </row>
    <row r="459" spans="1:15" x14ac:dyDescent="0.25">
      <c r="B459" s="5" t="s">
        <v>534</v>
      </c>
      <c r="C459" s="5" t="s">
        <v>2322</v>
      </c>
      <c r="D459" s="6">
        <v>546222</v>
      </c>
      <c r="E459" s="6">
        <v>218859235</v>
      </c>
      <c r="F459" s="1">
        <v>2.583765770724731E-3</v>
      </c>
      <c r="H459" s="32">
        <f t="shared" si="7"/>
        <v>1.9190417073330262E-4</v>
      </c>
      <c r="I459" s="9" t="s">
        <v>939</v>
      </c>
      <c r="J459" s="9">
        <v>0</v>
      </c>
      <c r="K459" s="9">
        <v>0</v>
      </c>
      <c r="L459" s="9" t="s">
        <v>940</v>
      </c>
      <c r="M459" s="75">
        <v>42000</v>
      </c>
      <c r="N459" s="78">
        <v>2108830</v>
      </c>
      <c r="O459" s="81">
        <v>546222</v>
      </c>
    </row>
    <row r="460" spans="1:15" x14ac:dyDescent="0.25">
      <c r="B460" s="5" t="s">
        <v>535</v>
      </c>
      <c r="C460" s="5" t="s">
        <v>1636</v>
      </c>
      <c r="D460" s="6">
        <v>2504591</v>
      </c>
      <c r="E460" s="6">
        <v>484110600</v>
      </c>
      <c r="F460" s="1">
        <v>5.1735925633522584E-3</v>
      </c>
      <c r="H460" s="32">
        <f t="shared" si="7"/>
        <v>0</v>
      </c>
      <c r="I460" s="9" t="s">
        <v>943</v>
      </c>
      <c r="J460" s="9">
        <v>2</v>
      </c>
      <c r="K460" s="9">
        <v>3</v>
      </c>
      <c r="L460" s="9" t="s">
        <v>938</v>
      </c>
      <c r="M460" s="75">
        <v>0</v>
      </c>
      <c r="N460" s="78">
        <v>5145422</v>
      </c>
      <c r="O460" s="81">
        <v>2504591</v>
      </c>
    </row>
    <row r="461" spans="1:15" x14ac:dyDescent="0.25">
      <c r="B461" s="5" t="s">
        <v>536</v>
      </c>
      <c r="C461" s="5" t="s">
        <v>1652</v>
      </c>
      <c r="D461" s="6">
        <v>9670834</v>
      </c>
      <c r="E461" s="6">
        <v>2435481610</v>
      </c>
      <c r="F461" s="1">
        <v>4.5752560619827468E-3</v>
      </c>
      <c r="H461" s="32">
        <f t="shared" si="7"/>
        <v>3.9807321723114965E-3</v>
      </c>
      <c r="I461" s="9" t="s">
        <v>941</v>
      </c>
      <c r="J461" s="9">
        <v>2</v>
      </c>
      <c r="K461" s="9">
        <v>2</v>
      </c>
      <c r="L461" s="9" t="s">
        <v>938</v>
      </c>
      <c r="M461" s="75">
        <v>9695000</v>
      </c>
      <c r="N461" s="78">
        <v>24113795</v>
      </c>
      <c r="O461" s="81">
        <v>9670834</v>
      </c>
    </row>
    <row r="462" spans="1:15" x14ac:dyDescent="0.25">
      <c r="B462" s="5" t="s">
        <v>537</v>
      </c>
      <c r="C462" s="5" t="s">
        <v>1995</v>
      </c>
      <c r="D462" s="6">
        <v>107154</v>
      </c>
      <c r="E462" s="6">
        <v>7275322</v>
      </c>
      <c r="F462" s="1">
        <v>1.4728420267858935E-2</v>
      </c>
      <c r="H462" s="32">
        <f t="shared" si="7"/>
        <v>0</v>
      </c>
      <c r="I462" s="9" t="s">
        <v>939</v>
      </c>
      <c r="J462" s="9">
        <v>0</v>
      </c>
      <c r="K462" s="9">
        <v>0</v>
      </c>
      <c r="L462" s="9" t="s">
        <v>940</v>
      </c>
      <c r="M462" s="75">
        <v>0</v>
      </c>
      <c r="N462" s="78">
        <v>82682</v>
      </c>
      <c r="O462" s="81">
        <v>107154</v>
      </c>
    </row>
    <row r="463" spans="1:15" x14ac:dyDescent="0.25">
      <c r="A463" t="s">
        <v>1104</v>
      </c>
      <c r="B463" s="5" t="s">
        <v>538</v>
      </c>
      <c r="C463" s="5" t="s">
        <v>1105</v>
      </c>
      <c r="D463" s="6">
        <v>2974265</v>
      </c>
      <c r="E463" s="6">
        <v>400431358</v>
      </c>
      <c r="F463" s="1">
        <v>7.4276525566212021E-3</v>
      </c>
      <c r="H463" s="32">
        <f t="shared" si="7"/>
        <v>3.513710831807533E-2</v>
      </c>
      <c r="I463" s="9" t="s">
        <v>942</v>
      </c>
      <c r="J463" s="9">
        <v>2</v>
      </c>
      <c r="K463" s="9">
        <v>4</v>
      </c>
      <c r="L463" s="9" t="s">
        <v>938</v>
      </c>
      <c r="M463" s="75">
        <v>14070000</v>
      </c>
      <c r="N463" s="78">
        <v>4889823</v>
      </c>
      <c r="O463" s="81">
        <v>2974265</v>
      </c>
    </row>
    <row r="464" spans="1:15" x14ac:dyDescent="0.25">
      <c r="B464" s="5" t="s">
        <v>539</v>
      </c>
      <c r="C464" s="5" t="s">
        <v>2036</v>
      </c>
      <c r="D464" s="6">
        <v>3101401</v>
      </c>
      <c r="E464" s="6">
        <v>1223661200</v>
      </c>
      <c r="F464" s="1">
        <v>2.927566061586328E-3</v>
      </c>
      <c r="H464" s="32">
        <f t="shared" si="7"/>
        <v>2.5333809717918653E-3</v>
      </c>
      <c r="I464" s="9" t="s">
        <v>941</v>
      </c>
      <c r="J464" s="9">
        <v>2</v>
      </c>
      <c r="K464" s="9">
        <v>2</v>
      </c>
      <c r="L464" s="9" t="s">
        <v>938</v>
      </c>
      <c r="M464" s="75">
        <v>3100000</v>
      </c>
      <c r="N464" s="78">
        <v>12931641</v>
      </c>
      <c r="O464" s="81">
        <v>3101401</v>
      </c>
    </row>
    <row r="465" spans="1:15" x14ac:dyDescent="0.25">
      <c r="B465" s="5" t="s">
        <v>540</v>
      </c>
      <c r="C465" s="5" t="s">
        <v>1818</v>
      </c>
      <c r="D465" s="6">
        <v>3952560</v>
      </c>
      <c r="E465" s="6">
        <v>514414600</v>
      </c>
      <c r="F465" s="1">
        <v>7.6836077358613071E-3</v>
      </c>
      <c r="H465" s="32">
        <f t="shared" si="7"/>
        <v>0</v>
      </c>
      <c r="I465" s="9" t="s">
        <v>937</v>
      </c>
      <c r="J465" s="9">
        <v>3</v>
      </c>
      <c r="K465" s="9">
        <v>5</v>
      </c>
      <c r="L465" s="9" t="s">
        <v>938</v>
      </c>
      <c r="M465" s="75">
        <v>0</v>
      </c>
      <c r="N465" s="78">
        <v>6079838</v>
      </c>
      <c r="O465" s="81">
        <v>3952560</v>
      </c>
    </row>
    <row r="466" spans="1:15" x14ac:dyDescent="0.25">
      <c r="A466" t="s">
        <v>1106</v>
      </c>
      <c r="B466" s="5" t="s">
        <v>541</v>
      </c>
      <c r="C466" s="5" t="s">
        <v>1107</v>
      </c>
      <c r="D466" s="6">
        <v>131919</v>
      </c>
      <c r="E466" s="6">
        <v>18467877</v>
      </c>
      <c r="F466" s="1">
        <v>7.1431599853085444E-3</v>
      </c>
      <c r="H466" s="32">
        <f t="shared" si="7"/>
        <v>0</v>
      </c>
      <c r="I466" s="9" t="s">
        <v>946</v>
      </c>
      <c r="J466" s="9">
        <v>3</v>
      </c>
      <c r="K466" s="9">
        <v>6</v>
      </c>
      <c r="L466" s="9" t="s">
        <v>938</v>
      </c>
      <c r="M466" s="75">
        <v>0</v>
      </c>
      <c r="N466" s="78">
        <v>203043</v>
      </c>
      <c r="O466" s="81">
        <v>131919</v>
      </c>
    </row>
    <row r="467" spans="1:15" x14ac:dyDescent="0.25">
      <c r="B467" s="5" t="s">
        <v>542</v>
      </c>
      <c r="C467" s="5" t="s">
        <v>2323</v>
      </c>
      <c r="D467" s="6">
        <v>145006</v>
      </c>
      <c r="E467" s="6">
        <v>58022545</v>
      </c>
      <c r="F467" s="1">
        <v>2.4991320184249073E-3</v>
      </c>
      <c r="H467" s="32">
        <f t="shared" si="7"/>
        <v>0</v>
      </c>
      <c r="I467" s="9" t="s">
        <v>939</v>
      </c>
      <c r="J467" s="9">
        <v>0</v>
      </c>
      <c r="K467" s="9">
        <v>0</v>
      </c>
      <c r="L467" s="9" t="s">
        <v>940</v>
      </c>
      <c r="M467" s="75">
        <v>0</v>
      </c>
      <c r="N467" s="78">
        <v>598209</v>
      </c>
      <c r="O467" s="81">
        <v>145006</v>
      </c>
    </row>
    <row r="468" spans="1:15" x14ac:dyDescent="0.25">
      <c r="B468" s="5" t="s">
        <v>543</v>
      </c>
      <c r="C468" s="5" t="s">
        <v>1665</v>
      </c>
      <c r="D468" s="6">
        <v>1138096</v>
      </c>
      <c r="E468" s="6">
        <v>299486366</v>
      </c>
      <c r="F468" s="1">
        <v>4.0849739383461616E-3</v>
      </c>
      <c r="H468" s="32">
        <f t="shared" si="7"/>
        <v>0</v>
      </c>
      <c r="I468" s="9" t="s">
        <v>943</v>
      </c>
      <c r="J468" s="9">
        <v>2</v>
      </c>
      <c r="K468" s="9">
        <v>3</v>
      </c>
      <c r="L468" s="9" t="s">
        <v>938</v>
      </c>
      <c r="M468" s="75">
        <v>0</v>
      </c>
      <c r="N468" s="78">
        <v>3156475</v>
      </c>
      <c r="O468" s="81">
        <v>1138096</v>
      </c>
    </row>
    <row r="469" spans="1:15" x14ac:dyDescent="0.25">
      <c r="A469" t="s">
        <v>1108</v>
      </c>
      <c r="B469" s="5" t="s">
        <v>544</v>
      </c>
      <c r="C469" s="5" t="s">
        <v>1109</v>
      </c>
      <c r="D469" s="6">
        <v>981911</v>
      </c>
      <c r="E469" s="6">
        <v>143993525</v>
      </c>
      <c r="F469" s="1">
        <v>6.8191330130990269E-3</v>
      </c>
      <c r="H469" s="32">
        <f t="shared" si="7"/>
        <v>3.0279139287686722E-2</v>
      </c>
      <c r="I469" s="9" t="s">
        <v>939</v>
      </c>
      <c r="J469" s="9">
        <v>0</v>
      </c>
      <c r="K469" s="9">
        <v>0</v>
      </c>
      <c r="L469" s="9" t="s">
        <v>940</v>
      </c>
      <c r="M469" s="75">
        <v>4360000</v>
      </c>
      <c r="N469" s="78">
        <v>1640322</v>
      </c>
      <c r="O469" s="81">
        <v>981911</v>
      </c>
    </row>
    <row r="470" spans="1:15" x14ac:dyDescent="0.25">
      <c r="B470" s="5" t="s">
        <v>545</v>
      </c>
      <c r="C470" s="5" t="s">
        <v>2324</v>
      </c>
      <c r="D470" s="6">
        <v>285996</v>
      </c>
      <c r="E470" s="6">
        <v>39434161</v>
      </c>
      <c r="F470" s="1">
        <v>7.2524935930550162E-3</v>
      </c>
      <c r="H470" s="32">
        <f t="shared" si="7"/>
        <v>0</v>
      </c>
      <c r="I470" s="9" t="s">
        <v>939</v>
      </c>
      <c r="J470" s="9">
        <v>0</v>
      </c>
      <c r="K470" s="9">
        <v>0</v>
      </c>
      <c r="L470" s="9" t="s">
        <v>940</v>
      </c>
      <c r="M470" s="75">
        <v>0</v>
      </c>
      <c r="N470" s="78">
        <v>450901</v>
      </c>
      <c r="O470" s="81">
        <v>285996</v>
      </c>
    </row>
    <row r="471" spans="1:15" x14ac:dyDescent="0.25">
      <c r="A471" t="s">
        <v>1110</v>
      </c>
      <c r="B471" s="5" t="s">
        <v>546</v>
      </c>
      <c r="C471" s="5" t="s">
        <v>1111</v>
      </c>
      <c r="D471" s="6">
        <v>2241237</v>
      </c>
      <c r="E471" s="6">
        <v>377657400</v>
      </c>
      <c r="F471" s="1">
        <v>5.9345772120445676E-3</v>
      </c>
      <c r="H471" s="32">
        <f t="shared" si="7"/>
        <v>0</v>
      </c>
      <c r="I471" s="9" t="s">
        <v>942</v>
      </c>
      <c r="J471" s="9">
        <v>2</v>
      </c>
      <c r="K471" s="9">
        <v>4</v>
      </c>
      <c r="L471" s="9" t="s">
        <v>938</v>
      </c>
      <c r="M471" s="75">
        <v>0</v>
      </c>
      <c r="N471" s="78">
        <v>3999420</v>
      </c>
      <c r="O471" s="81">
        <v>2241237</v>
      </c>
    </row>
    <row r="472" spans="1:15" x14ac:dyDescent="0.25">
      <c r="B472" s="5" t="s">
        <v>547</v>
      </c>
      <c r="C472" s="5" t="s">
        <v>1807</v>
      </c>
      <c r="D472" s="6">
        <v>393400</v>
      </c>
      <c r="E472" s="6">
        <v>72542065</v>
      </c>
      <c r="F472" s="1">
        <v>6.2487744179876873E-3</v>
      </c>
      <c r="H472" s="32">
        <f t="shared" si="7"/>
        <v>2.0608732326547363E-2</v>
      </c>
      <c r="I472" s="9" t="s">
        <v>943</v>
      </c>
      <c r="J472" s="9">
        <v>2</v>
      </c>
      <c r="K472" s="9">
        <v>3</v>
      </c>
      <c r="L472" s="9" t="s">
        <v>938</v>
      </c>
      <c r="M472" s="75">
        <v>1495000</v>
      </c>
      <c r="N472" s="78">
        <v>755684</v>
      </c>
      <c r="O472" s="81">
        <v>393400</v>
      </c>
    </row>
    <row r="473" spans="1:15" x14ac:dyDescent="0.25">
      <c r="B473" s="5" t="s">
        <v>548</v>
      </c>
      <c r="C473" s="5" t="s">
        <v>2325</v>
      </c>
      <c r="D473" s="6">
        <v>15504</v>
      </c>
      <c r="E473" s="6">
        <v>1772369</v>
      </c>
      <c r="F473" s="1">
        <v>8.7476140690792951E-3</v>
      </c>
      <c r="H473" s="32">
        <f t="shared" si="7"/>
        <v>0</v>
      </c>
      <c r="I473" s="9" t="s">
        <v>939</v>
      </c>
      <c r="J473" s="9">
        <v>0</v>
      </c>
      <c r="K473" s="9">
        <v>0</v>
      </c>
      <c r="L473" s="9" t="s">
        <v>940</v>
      </c>
      <c r="M473" s="75">
        <v>0</v>
      </c>
      <c r="N473" s="78">
        <v>24733</v>
      </c>
      <c r="O473" s="81">
        <v>15504</v>
      </c>
    </row>
    <row r="474" spans="1:15" x14ac:dyDescent="0.25">
      <c r="B474" s="5" t="s">
        <v>549</v>
      </c>
      <c r="C474" s="5" t="s">
        <v>1915</v>
      </c>
      <c r="D474" s="6">
        <v>114324</v>
      </c>
      <c r="E474" s="6">
        <v>15463466</v>
      </c>
      <c r="F474" s="1">
        <v>7.3931678706442659E-3</v>
      </c>
      <c r="H474" s="32">
        <f t="shared" si="7"/>
        <v>5.3863086063628942E-3</v>
      </c>
      <c r="I474" s="9" t="s">
        <v>939</v>
      </c>
      <c r="J474" s="9">
        <v>0</v>
      </c>
      <c r="K474" s="9">
        <v>0</v>
      </c>
      <c r="L474" s="9" t="s">
        <v>940</v>
      </c>
      <c r="M474" s="75">
        <v>83291</v>
      </c>
      <c r="N474" s="78">
        <v>179506</v>
      </c>
      <c r="O474" s="81">
        <v>114324</v>
      </c>
    </row>
    <row r="475" spans="1:15" x14ac:dyDescent="0.25">
      <c r="A475" t="s">
        <v>1112</v>
      </c>
      <c r="B475" s="5" t="s">
        <v>550</v>
      </c>
      <c r="C475" s="5" t="s">
        <v>1113</v>
      </c>
      <c r="D475" s="6">
        <v>135015</v>
      </c>
      <c r="E475" s="6">
        <v>5769919</v>
      </c>
      <c r="F475" s="1">
        <v>2.3399808558837654E-2</v>
      </c>
      <c r="H475" s="32">
        <f t="shared" si="7"/>
        <v>0</v>
      </c>
      <c r="I475" s="9" t="s">
        <v>939</v>
      </c>
      <c r="J475" s="9">
        <v>0</v>
      </c>
      <c r="K475" s="9">
        <v>0</v>
      </c>
      <c r="L475" s="9" t="s">
        <v>940</v>
      </c>
      <c r="M475" s="75">
        <v>0</v>
      </c>
      <c r="N475" s="78">
        <v>58320</v>
      </c>
      <c r="O475" s="81">
        <v>135015</v>
      </c>
    </row>
    <row r="476" spans="1:15" x14ac:dyDescent="0.25">
      <c r="A476" t="s">
        <v>1114</v>
      </c>
      <c r="B476" s="5" t="s">
        <v>551</v>
      </c>
      <c r="C476" s="5" t="s">
        <v>1115</v>
      </c>
      <c r="D476" s="6">
        <v>2263828</v>
      </c>
      <c r="E476" s="6">
        <v>304028324</v>
      </c>
      <c r="F476" s="1">
        <v>7.4461088697775407E-3</v>
      </c>
      <c r="H476" s="32">
        <f t="shared" si="7"/>
        <v>1.7712165528367022E-2</v>
      </c>
      <c r="I476" s="9" t="s">
        <v>942</v>
      </c>
      <c r="J476" s="9">
        <v>2</v>
      </c>
      <c r="K476" s="9">
        <v>4</v>
      </c>
      <c r="L476" s="9" t="s">
        <v>938</v>
      </c>
      <c r="M476" s="75">
        <v>5385000</v>
      </c>
      <c r="N476" s="78">
        <v>3572956</v>
      </c>
      <c r="O476" s="81">
        <v>2263828</v>
      </c>
    </row>
    <row r="477" spans="1:15" x14ac:dyDescent="0.25">
      <c r="B477" s="5" t="s">
        <v>552</v>
      </c>
      <c r="C477" s="5" t="s">
        <v>1718</v>
      </c>
      <c r="D477" s="6">
        <v>95000</v>
      </c>
      <c r="E477" s="6">
        <v>16085500</v>
      </c>
      <c r="F477" s="1">
        <v>5.9059401324173949E-3</v>
      </c>
      <c r="H477" s="32">
        <f t="shared" si="7"/>
        <v>0</v>
      </c>
      <c r="I477" s="9" t="s">
        <v>939</v>
      </c>
      <c r="J477" s="9">
        <v>0</v>
      </c>
      <c r="K477" s="9">
        <v>0</v>
      </c>
      <c r="L477" s="9" t="s">
        <v>940</v>
      </c>
      <c r="M477" s="75">
        <v>0</v>
      </c>
      <c r="N477" s="78">
        <v>168273</v>
      </c>
      <c r="O477" s="81">
        <v>95000</v>
      </c>
    </row>
    <row r="478" spans="1:15" x14ac:dyDescent="0.25">
      <c r="B478" s="5" t="s">
        <v>553</v>
      </c>
      <c r="C478" s="5" t="s">
        <v>1972</v>
      </c>
      <c r="D478" s="6">
        <v>169263</v>
      </c>
      <c r="E478" s="6">
        <v>29411813</v>
      </c>
      <c r="F478" s="1">
        <v>5.7549325504007518E-3</v>
      </c>
      <c r="H478" s="32">
        <f t="shared" si="7"/>
        <v>0</v>
      </c>
      <c r="I478" s="9" t="s">
        <v>939</v>
      </c>
      <c r="J478" s="9">
        <v>0</v>
      </c>
      <c r="K478" s="9">
        <v>0</v>
      </c>
      <c r="L478" s="9" t="s">
        <v>940</v>
      </c>
      <c r="M478" s="75">
        <v>0</v>
      </c>
      <c r="N478" s="78">
        <v>308580</v>
      </c>
      <c r="O478" s="81">
        <v>169263</v>
      </c>
    </row>
    <row r="479" spans="1:15" x14ac:dyDescent="0.25">
      <c r="A479" t="s">
        <v>1116</v>
      </c>
      <c r="B479" s="5" t="s">
        <v>554</v>
      </c>
      <c r="C479" s="5" t="s">
        <v>1117</v>
      </c>
      <c r="D479" s="6">
        <v>413915</v>
      </c>
      <c r="E479" s="6">
        <v>29987800</v>
      </c>
      <c r="F479" s="1">
        <v>1.3802779797117495E-2</v>
      </c>
      <c r="H479" s="32">
        <f t="shared" si="7"/>
        <v>0</v>
      </c>
      <c r="I479" s="9" t="s">
        <v>939</v>
      </c>
      <c r="J479" s="9">
        <v>0</v>
      </c>
      <c r="K479" s="9">
        <v>0</v>
      </c>
      <c r="L479" s="9" t="s">
        <v>940</v>
      </c>
      <c r="M479" s="75">
        <v>0</v>
      </c>
      <c r="N479" s="78">
        <v>315628</v>
      </c>
      <c r="O479" s="81">
        <v>413915</v>
      </c>
    </row>
    <row r="480" spans="1:15" x14ac:dyDescent="0.25">
      <c r="A480" t="s">
        <v>1118</v>
      </c>
      <c r="B480" s="5" t="s">
        <v>555</v>
      </c>
      <c r="C480" s="5" t="s">
        <v>1119</v>
      </c>
      <c r="D480" s="6">
        <v>651142</v>
      </c>
      <c r="E480" s="6">
        <v>84756400</v>
      </c>
      <c r="F480" s="1">
        <v>7.6825112911827311E-3</v>
      </c>
      <c r="H480" s="32">
        <f t="shared" si="7"/>
        <v>0</v>
      </c>
      <c r="I480" s="9" t="s">
        <v>937</v>
      </c>
      <c r="J480" s="9">
        <v>3</v>
      </c>
      <c r="K480" s="9">
        <v>5</v>
      </c>
      <c r="L480" s="9" t="s">
        <v>938</v>
      </c>
      <c r="M480" s="75">
        <v>0</v>
      </c>
      <c r="N480" s="78">
        <v>956553</v>
      </c>
      <c r="O480" s="81">
        <v>651142</v>
      </c>
    </row>
    <row r="481" spans="1:15" x14ac:dyDescent="0.25">
      <c r="A481" t="s">
        <v>1120</v>
      </c>
      <c r="B481" s="5" t="s">
        <v>556</v>
      </c>
      <c r="C481" s="5" t="s">
        <v>1121</v>
      </c>
      <c r="D481" s="6">
        <v>589064</v>
      </c>
      <c r="E481" s="6">
        <v>41769488</v>
      </c>
      <c r="F481" s="1">
        <v>1.4102734512809925E-2</v>
      </c>
      <c r="H481" s="32">
        <f t="shared" si="7"/>
        <v>0.17309285668045535</v>
      </c>
      <c r="I481" s="9" t="s">
        <v>945</v>
      </c>
      <c r="J481" s="9">
        <v>3</v>
      </c>
      <c r="K481" s="9">
        <v>7</v>
      </c>
      <c r="L481" s="9" t="s">
        <v>938</v>
      </c>
      <c r="M481" s="75">
        <v>7230000</v>
      </c>
      <c r="N481" s="78">
        <v>481857</v>
      </c>
      <c r="O481" s="81">
        <v>589064</v>
      </c>
    </row>
    <row r="482" spans="1:15" x14ac:dyDescent="0.25">
      <c r="B482" s="5" t="s">
        <v>557</v>
      </c>
      <c r="C482" s="5" t="s">
        <v>1871</v>
      </c>
      <c r="D482" s="6">
        <v>818334</v>
      </c>
      <c r="E482" s="6">
        <v>135572900</v>
      </c>
      <c r="F482" s="1">
        <v>6.0361178377094536E-3</v>
      </c>
      <c r="H482" s="32">
        <f t="shared" si="7"/>
        <v>0</v>
      </c>
      <c r="I482" s="9" t="s">
        <v>937</v>
      </c>
      <c r="J482" s="9">
        <v>3</v>
      </c>
      <c r="K482" s="9">
        <v>5</v>
      </c>
      <c r="L482" s="9" t="s">
        <v>938</v>
      </c>
      <c r="M482" s="75">
        <v>0</v>
      </c>
      <c r="N482" s="78">
        <v>1352854</v>
      </c>
      <c r="O482" s="81">
        <v>818334</v>
      </c>
    </row>
    <row r="483" spans="1:15" x14ac:dyDescent="0.25">
      <c r="B483" s="5" t="s">
        <v>558</v>
      </c>
      <c r="C483" s="5" t="s">
        <v>1983</v>
      </c>
      <c r="D483" s="6">
        <v>44062</v>
      </c>
      <c r="E483" s="6">
        <v>8288623</v>
      </c>
      <c r="F483" s="1">
        <v>5.3159614087888909E-3</v>
      </c>
      <c r="H483" s="32">
        <f t="shared" si="7"/>
        <v>0</v>
      </c>
      <c r="I483" s="9" t="s">
        <v>939</v>
      </c>
      <c r="J483" s="9">
        <v>0</v>
      </c>
      <c r="K483" s="9">
        <v>0</v>
      </c>
      <c r="L483" s="9" t="s">
        <v>940</v>
      </c>
      <c r="M483" s="75">
        <v>0</v>
      </c>
      <c r="N483" s="78">
        <v>94288</v>
      </c>
      <c r="O483" s="81">
        <v>44062</v>
      </c>
    </row>
    <row r="484" spans="1:15" x14ac:dyDescent="0.25">
      <c r="B484" s="5" t="s">
        <v>559</v>
      </c>
      <c r="C484" s="5" t="s">
        <v>1844</v>
      </c>
      <c r="D484" s="6">
        <v>260720</v>
      </c>
      <c r="E484" s="6">
        <v>40755243</v>
      </c>
      <c r="F484" s="1">
        <v>6.3972137278141125E-3</v>
      </c>
      <c r="H484" s="32">
        <f t="shared" si="7"/>
        <v>0.27616078745991035</v>
      </c>
      <c r="I484" s="9" t="s">
        <v>937</v>
      </c>
      <c r="J484" s="9">
        <v>3</v>
      </c>
      <c r="K484" s="9">
        <v>5</v>
      </c>
      <c r="L484" s="9" t="s">
        <v>938</v>
      </c>
      <c r="M484" s="75">
        <v>11255000</v>
      </c>
      <c r="N484" s="78">
        <v>540330</v>
      </c>
      <c r="O484" s="81">
        <v>260720</v>
      </c>
    </row>
    <row r="485" spans="1:15" x14ac:dyDescent="0.25">
      <c r="B485" s="5" t="s">
        <v>560</v>
      </c>
      <c r="C485" s="5" t="s">
        <v>1523</v>
      </c>
      <c r="D485" s="6">
        <v>4842786</v>
      </c>
      <c r="E485" s="6">
        <v>1243340800</v>
      </c>
      <c r="F485" s="1">
        <v>4.1769119134512436E-3</v>
      </c>
      <c r="H485" s="32">
        <f t="shared" si="7"/>
        <v>0</v>
      </c>
      <c r="I485" s="9" t="s">
        <v>941</v>
      </c>
      <c r="J485" s="9">
        <v>2</v>
      </c>
      <c r="K485" s="9">
        <v>2</v>
      </c>
      <c r="L485" s="9" t="s">
        <v>938</v>
      </c>
      <c r="M485" s="75">
        <v>0</v>
      </c>
      <c r="N485" s="78">
        <v>12980531</v>
      </c>
      <c r="O485" s="81">
        <v>4842786</v>
      </c>
    </row>
    <row r="486" spans="1:15" x14ac:dyDescent="0.25">
      <c r="B486" s="5" t="s">
        <v>561</v>
      </c>
      <c r="C486" s="5" t="s">
        <v>2028</v>
      </c>
      <c r="D486" s="6">
        <v>26600</v>
      </c>
      <c r="E486" s="6">
        <v>1498900</v>
      </c>
      <c r="F486" s="1">
        <v>1.7746347321369003E-2</v>
      </c>
      <c r="H486" s="32">
        <f t="shared" si="7"/>
        <v>5.0703849489625724E-2</v>
      </c>
      <c r="I486" s="9" t="s">
        <v>939</v>
      </c>
      <c r="J486" s="9">
        <v>0</v>
      </c>
      <c r="K486" s="9">
        <v>0</v>
      </c>
      <c r="L486" s="9" t="s">
        <v>940</v>
      </c>
      <c r="M486" s="75">
        <v>76000</v>
      </c>
      <c r="N486" s="78">
        <v>18593</v>
      </c>
      <c r="O486" s="81">
        <v>26600</v>
      </c>
    </row>
    <row r="487" spans="1:15" x14ac:dyDescent="0.25">
      <c r="B487" s="5" t="s">
        <v>562</v>
      </c>
      <c r="C487" s="5" t="s">
        <v>2326</v>
      </c>
      <c r="D487" s="6">
        <v>70003</v>
      </c>
      <c r="E487" s="6">
        <v>32165574</v>
      </c>
      <c r="F487" s="1">
        <v>2.1763329950213232E-3</v>
      </c>
      <c r="H487" s="32">
        <f t="shared" si="7"/>
        <v>0</v>
      </c>
      <c r="I487" s="9" t="s">
        <v>939</v>
      </c>
      <c r="J487" s="9">
        <v>0</v>
      </c>
      <c r="K487" s="9">
        <v>0</v>
      </c>
      <c r="L487" s="9" t="s">
        <v>940</v>
      </c>
      <c r="M487" s="75">
        <v>0</v>
      </c>
      <c r="N487" s="78">
        <v>354688</v>
      </c>
      <c r="O487" s="81">
        <v>70003</v>
      </c>
    </row>
    <row r="488" spans="1:15" x14ac:dyDescent="0.25">
      <c r="B488" s="5" t="s">
        <v>563</v>
      </c>
      <c r="C488" s="5" t="s">
        <v>1480</v>
      </c>
      <c r="D488" s="6">
        <v>20798131</v>
      </c>
      <c r="E488" s="6">
        <v>3639220750</v>
      </c>
      <c r="F488" s="1">
        <v>5.714995717146315E-3</v>
      </c>
      <c r="H488" s="32">
        <f t="shared" si="7"/>
        <v>4.9873314225304963E-4</v>
      </c>
      <c r="I488" s="9" t="s">
        <v>943</v>
      </c>
      <c r="J488" s="9">
        <v>2</v>
      </c>
      <c r="K488" s="9">
        <v>3</v>
      </c>
      <c r="L488" s="9" t="s">
        <v>938</v>
      </c>
      <c r="M488" s="75">
        <v>1815000</v>
      </c>
      <c r="N488" s="78">
        <v>47225718</v>
      </c>
      <c r="O488" s="81">
        <v>20798131</v>
      </c>
    </row>
    <row r="489" spans="1:15" x14ac:dyDescent="0.25">
      <c r="B489" s="5" t="s">
        <v>564</v>
      </c>
      <c r="C489" s="5" t="s">
        <v>1744</v>
      </c>
      <c r="D489" s="6">
        <v>530029</v>
      </c>
      <c r="E489" s="6">
        <v>92274500</v>
      </c>
      <c r="F489" s="1">
        <v>5.7440462966475026E-3</v>
      </c>
      <c r="H489" s="32">
        <f t="shared" si="7"/>
        <v>1.565979766891178E-2</v>
      </c>
      <c r="I489" s="9" t="s">
        <v>942</v>
      </c>
      <c r="J489" s="9">
        <v>2</v>
      </c>
      <c r="K489" s="9">
        <v>4</v>
      </c>
      <c r="L489" s="9" t="s">
        <v>938</v>
      </c>
      <c r="M489" s="75">
        <v>1445000</v>
      </c>
      <c r="N489" s="78">
        <v>953626</v>
      </c>
      <c r="O489" s="81">
        <v>530029</v>
      </c>
    </row>
    <row r="490" spans="1:15" x14ac:dyDescent="0.25">
      <c r="B490" s="5" t="s">
        <v>565</v>
      </c>
      <c r="C490" s="5" t="s">
        <v>1459</v>
      </c>
      <c r="D490" s="6">
        <v>35290279</v>
      </c>
      <c r="E490" s="6">
        <v>10502785469</v>
      </c>
      <c r="F490" s="1">
        <v>3.6297031975489548E-3</v>
      </c>
      <c r="H490" s="32">
        <f t="shared" si="7"/>
        <v>7.2675958416265349E-3</v>
      </c>
      <c r="I490" s="9" t="s">
        <v>944</v>
      </c>
      <c r="J490" s="9">
        <v>1</v>
      </c>
      <c r="K490" s="9">
        <v>1</v>
      </c>
      <c r="L490" s="9" t="s">
        <v>938</v>
      </c>
      <c r="M490" s="75">
        <v>76330000</v>
      </c>
      <c r="N490" s="78">
        <v>110589953</v>
      </c>
      <c r="O490" s="81">
        <v>35290279</v>
      </c>
    </row>
    <row r="491" spans="1:15" x14ac:dyDescent="0.25">
      <c r="B491" s="5" t="s">
        <v>566</v>
      </c>
      <c r="C491" s="5" t="s">
        <v>1659</v>
      </c>
      <c r="D491" s="6">
        <v>1332499</v>
      </c>
      <c r="E491" s="6">
        <v>173225700</v>
      </c>
      <c r="F491" s="1">
        <v>7.6922708351012583E-3</v>
      </c>
      <c r="H491" s="32">
        <f t="shared" si="7"/>
        <v>0</v>
      </c>
      <c r="I491" s="9" t="s">
        <v>942</v>
      </c>
      <c r="J491" s="9">
        <v>2</v>
      </c>
      <c r="K491" s="9">
        <v>4</v>
      </c>
      <c r="L491" s="9" t="s">
        <v>938</v>
      </c>
      <c r="M491" s="75">
        <v>0</v>
      </c>
      <c r="N491" s="78">
        <v>2149367</v>
      </c>
      <c r="O491" s="81">
        <v>1332499</v>
      </c>
    </row>
    <row r="492" spans="1:15" x14ac:dyDescent="0.25">
      <c r="B492" s="5" t="s">
        <v>567</v>
      </c>
      <c r="C492" s="5" t="s">
        <v>1854</v>
      </c>
      <c r="D492" s="6">
        <v>1276063</v>
      </c>
      <c r="E492" s="6">
        <v>210902375</v>
      </c>
      <c r="F492" s="1">
        <v>6.9558344233913915E-3</v>
      </c>
      <c r="H492" s="32">
        <f t="shared" si="7"/>
        <v>0</v>
      </c>
      <c r="I492" s="9" t="s">
        <v>943</v>
      </c>
      <c r="J492" s="9">
        <v>2</v>
      </c>
      <c r="K492" s="9">
        <v>3</v>
      </c>
      <c r="L492" s="9" t="s">
        <v>938</v>
      </c>
      <c r="M492" s="75">
        <v>0</v>
      </c>
      <c r="N492" s="78">
        <v>2301374</v>
      </c>
      <c r="O492" s="81">
        <v>1276063</v>
      </c>
    </row>
    <row r="493" spans="1:15" x14ac:dyDescent="0.25">
      <c r="B493" s="5" t="s">
        <v>568</v>
      </c>
      <c r="C493" s="5" t="s">
        <v>1481</v>
      </c>
      <c r="D493" s="6">
        <v>835096</v>
      </c>
      <c r="E493" s="6">
        <v>84542900</v>
      </c>
      <c r="F493" s="1">
        <v>9.8777780274866365E-3</v>
      </c>
      <c r="H493" s="32">
        <f t="shared" si="7"/>
        <v>0</v>
      </c>
      <c r="I493" s="9" t="s">
        <v>942</v>
      </c>
      <c r="J493" s="9">
        <v>2</v>
      </c>
      <c r="K493" s="9">
        <v>4</v>
      </c>
      <c r="L493" s="9" t="s">
        <v>938</v>
      </c>
      <c r="M493" s="75">
        <v>0</v>
      </c>
      <c r="N493" s="78">
        <v>938428</v>
      </c>
      <c r="O493" s="81">
        <v>835096</v>
      </c>
    </row>
    <row r="494" spans="1:15" x14ac:dyDescent="0.25">
      <c r="B494" s="5" t="s">
        <v>569</v>
      </c>
      <c r="C494" s="5" t="s">
        <v>1719</v>
      </c>
      <c r="D494" s="6">
        <v>29997</v>
      </c>
      <c r="E494" s="6">
        <v>4642100</v>
      </c>
      <c r="F494" s="1">
        <v>6.4619461019797073E-3</v>
      </c>
      <c r="H494" s="32">
        <f t="shared" si="7"/>
        <v>0</v>
      </c>
      <c r="I494" s="9" t="s">
        <v>939</v>
      </c>
      <c r="J494" s="9">
        <v>0</v>
      </c>
      <c r="K494" s="9">
        <v>0</v>
      </c>
      <c r="L494" s="9" t="s">
        <v>940</v>
      </c>
      <c r="M494" s="75">
        <v>0</v>
      </c>
      <c r="N494" s="78">
        <v>51498</v>
      </c>
      <c r="O494" s="81">
        <v>29997</v>
      </c>
    </row>
    <row r="495" spans="1:15" x14ac:dyDescent="0.25">
      <c r="B495" s="5" t="s">
        <v>570</v>
      </c>
      <c r="C495" s="5" t="s">
        <v>2327</v>
      </c>
      <c r="D495" s="6">
        <v>19770146</v>
      </c>
      <c r="E495" s="6">
        <v>4478593000</v>
      </c>
      <c r="F495" s="1">
        <v>5.1841091610691122E-3</v>
      </c>
      <c r="H495" s="32">
        <f t="shared" si="7"/>
        <v>4.3864222535961632E-3</v>
      </c>
      <c r="I495" s="9" t="s">
        <v>941</v>
      </c>
      <c r="J495" s="9">
        <v>2</v>
      </c>
      <c r="K495" s="9">
        <v>2</v>
      </c>
      <c r="L495" s="9" t="s">
        <v>938</v>
      </c>
      <c r="M495" s="75">
        <v>19645000</v>
      </c>
      <c r="N495" s="78">
        <v>47124474</v>
      </c>
      <c r="O495" s="81">
        <v>19770146</v>
      </c>
    </row>
    <row r="496" spans="1:15" x14ac:dyDescent="0.25">
      <c r="B496" s="5" t="s">
        <v>571</v>
      </c>
      <c r="C496" s="5" t="s">
        <v>1788</v>
      </c>
      <c r="D496" s="6">
        <v>191304</v>
      </c>
      <c r="E496" s="6">
        <v>18653358</v>
      </c>
      <c r="F496" s="1">
        <v>1.3719567275768792E-2</v>
      </c>
      <c r="H496" s="32">
        <f t="shared" si="7"/>
        <v>0</v>
      </c>
      <c r="I496" s="9" t="s">
        <v>939</v>
      </c>
      <c r="J496" s="9">
        <v>0</v>
      </c>
      <c r="K496" s="9">
        <v>0</v>
      </c>
      <c r="L496" s="9" t="s">
        <v>940</v>
      </c>
      <c r="M496" s="75">
        <v>0</v>
      </c>
      <c r="N496" s="78">
        <v>193003</v>
      </c>
      <c r="O496" s="81">
        <v>191304</v>
      </c>
    </row>
    <row r="497" spans="1:15" x14ac:dyDescent="0.25">
      <c r="B497" s="5" t="s">
        <v>572</v>
      </c>
      <c r="C497" s="5" t="s">
        <v>1988</v>
      </c>
      <c r="D497" s="6">
        <v>42004</v>
      </c>
      <c r="E497" s="6">
        <v>2719572</v>
      </c>
      <c r="F497" s="1">
        <v>1.5445077387177099E-2</v>
      </c>
      <c r="H497" s="32">
        <f t="shared" si="7"/>
        <v>0</v>
      </c>
      <c r="I497" s="9" t="s">
        <v>939</v>
      </c>
      <c r="J497" s="9">
        <v>0</v>
      </c>
      <c r="K497" s="9">
        <v>0</v>
      </c>
      <c r="L497" s="9" t="s">
        <v>940</v>
      </c>
      <c r="M497" s="75">
        <v>0</v>
      </c>
      <c r="N497" s="78">
        <v>30017</v>
      </c>
      <c r="O497" s="81">
        <v>42004</v>
      </c>
    </row>
    <row r="498" spans="1:15" x14ac:dyDescent="0.25">
      <c r="B498" s="5" t="s">
        <v>573</v>
      </c>
      <c r="C498" s="5" t="s">
        <v>2328</v>
      </c>
      <c r="D498" s="6">
        <v>910437</v>
      </c>
      <c r="E498" s="6">
        <v>154650200</v>
      </c>
      <c r="F498" s="1">
        <v>6.092963345666543E-3</v>
      </c>
      <c r="H498" s="32">
        <f t="shared" si="7"/>
        <v>5.4316127622208053E-3</v>
      </c>
      <c r="I498" s="9" t="s">
        <v>939</v>
      </c>
      <c r="J498" s="9">
        <v>0</v>
      </c>
      <c r="K498" s="9">
        <v>0</v>
      </c>
      <c r="L498" s="9" t="s">
        <v>940</v>
      </c>
      <c r="M498" s="75">
        <v>840000</v>
      </c>
      <c r="N498" s="78">
        <v>1620827</v>
      </c>
      <c r="O498" s="81">
        <v>910437</v>
      </c>
    </row>
    <row r="499" spans="1:15" x14ac:dyDescent="0.25">
      <c r="A499" t="s">
        <v>1122</v>
      </c>
      <c r="B499" s="5" t="s">
        <v>574</v>
      </c>
      <c r="C499" s="5" t="s">
        <v>1123</v>
      </c>
      <c r="D499" s="6">
        <v>7255609</v>
      </c>
      <c r="E499" s="6">
        <v>929581798</v>
      </c>
      <c r="F499" s="1">
        <v>7.805239964477015E-3</v>
      </c>
      <c r="H499" s="32">
        <f t="shared" si="7"/>
        <v>1.101032746340414E-2</v>
      </c>
      <c r="I499" s="9" t="s">
        <v>943</v>
      </c>
      <c r="J499" s="9">
        <v>2</v>
      </c>
      <c r="K499" s="9">
        <v>3</v>
      </c>
      <c r="L499" s="9" t="s">
        <v>938</v>
      </c>
      <c r="M499" s="75">
        <v>10235000</v>
      </c>
      <c r="N499" s="78">
        <v>12317601</v>
      </c>
      <c r="O499" s="81">
        <v>7255609</v>
      </c>
    </row>
    <row r="500" spans="1:15" x14ac:dyDescent="0.25">
      <c r="A500" t="s">
        <v>1124</v>
      </c>
      <c r="B500" s="5" t="s">
        <v>575</v>
      </c>
      <c r="C500" s="5" t="s">
        <v>1125</v>
      </c>
      <c r="D500" s="6">
        <v>1007618</v>
      </c>
      <c r="E500" s="6">
        <v>203855300</v>
      </c>
      <c r="F500" s="1">
        <v>6.1543948084744424E-3</v>
      </c>
      <c r="H500" s="32">
        <f t="shared" si="7"/>
        <v>0</v>
      </c>
      <c r="I500" s="9" t="s">
        <v>943</v>
      </c>
      <c r="J500" s="9">
        <v>2</v>
      </c>
      <c r="K500" s="9">
        <v>3</v>
      </c>
      <c r="L500" s="9" t="s">
        <v>938</v>
      </c>
      <c r="M500" s="75">
        <v>0</v>
      </c>
      <c r="N500" s="78">
        <v>2052471</v>
      </c>
      <c r="O500" s="81">
        <v>1007618</v>
      </c>
    </row>
    <row r="501" spans="1:15" x14ac:dyDescent="0.25">
      <c r="A501" t="s">
        <v>1126</v>
      </c>
      <c r="B501" s="5" t="s">
        <v>576</v>
      </c>
      <c r="C501" s="5" t="s">
        <v>1127</v>
      </c>
      <c r="D501" s="6">
        <v>251598</v>
      </c>
      <c r="E501" s="6">
        <v>10666958</v>
      </c>
      <c r="F501" s="1">
        <v>2.3586668289122353E-2</v>
      </c>
      <c r="H501" s="32">
        <f t="shared" si="7"/>
        <v>2.6718020264071538E-2</v>
      </c>
      <c r="I501" s="9" t="s">
        <v>939</v>
      </c>
      <c r="J501" s="9">
        <v>0</v>
      </c>
      <c r="K501" s="9">
        <v>0</v>
      </c>
      <c r="L501" s="9" t="s">
        <v>940</v>
      </c>
      <c r="M501" s="75">
        <v>285000</v>
      </c>
      <c r="N501" s="78">
        <v>138289</v>
      </c>
      <c r="O501" s="81">
        <v>251598</v>
      </c>
    </row>
    <row r="502" spans="1:15" x14ac:dyDescent="0.25">
      <c r="B502" s="5" t="s">
        <v>577</v>
      </c>
      <c r="C502" s="5" t="s">
        <v>1584</v>
      </c>
      <c r="D502" s="6">
        <v>375747</v>
      </c>
      <c r="E502" s="6">
        <v>56288100</v>
      </c>
      <c r="F502" s="1">
        <v>6.6754251786789748E-3</v>
      </c>
      <c r="H502" s="32">
        <f t="shared" si="7"/>
        <v>0</v>
      </c>
      <c r="I502" s="9" t="s">
        <v>939</v>
      </c>
      <c r="J502" s="9">
        <v>0</v>
      </c>
      <c r="K502" s="9">
        <v>0</v>
      </c>
      <c r="L502" s="9" t="s">
        <v>940</v>
      </c>
      <c r="M502" s="75">
        <v>0</v>
      </c>
      <c r="N502" s="78">
        <v>585489</v>
      </c>
      <c r="O502" s="81">
        <v>375747</v>
      </c>
    </row>
    <row r="503" spans="1:15" x14ac:dyDescent="0.25">
      <c r="B503" s="5" t="s">
        <v>578</v>
      </c>
      <c r="C503" s="5" t="s">
        <v>2329</v>
      </c>
      <c r="D503" s="6">
        <v>11997</v>
      </c>
      <c r="E503" s="6">
        <v>1516564</v>
      </c>
      <c r="F503" s="1">
        <v>7.9106453799509951E-3</v>
      </c>
      <c r="H503" s="32">
        <f t="shared" si="7"/>
        <v>1.5891185601135199E-2</v>
      </c>
      <c r="I503" s="9" t="s">
        <v>939</v>
      </c>
      <c r="J503" s="9">
        <v>0</v>
      </c>
      <c r="K503" s="9">
        <v>0</v>
      </c>
      <c r="L503" s="9" t="s">
        <v>940</v>
      </c>
      <c r="M503" s="75">
        <v>24100</v>
      </c>
      <c r="N503" s="78">
        <v>15568</v>
      </c>
      <c r="O503" s="81">
        <v>11997</v>
      </c>
    </row>
    <row r="504" spans="1:15" x14ac:dyDescent="0.25">
      <c r="B504" s="5" t="s">
        <v>579</v>
      </c>
      <c r="C504" s="5" t="s">
        <v>2330</v>
      </c>
      <c r="D504" s="6">
        <v>275009</v>
      </c>
      <c r="E504" s="6">
        <v>17709904</v>
      </c>
      <c r="F504" s="1">
        <v>1.552854267307152E-2</v>
      </c>
      <c r="H504" s="32">
        <f t="shared" si="7"/>
        <v>0</v>
      </c>
      <c r="I504" s="9" t="s">
        <v>939</v>
      </c>
      <c r="J504" s="9">
        <v>0</v>
      </c>
      <c r="K504" s="9">
        <v>0</v>
      </c>
      <c r="L504" s="9" t="s">
        <v>940</v>
      </c>
      <c r="M504" s="75">
        <v>0</v>
      </c>
      <c r="N504" s="78">
        <v>239873</v>
      </c>
      <c r="O504" s="81">
        <v>275009</v>
      </c>
    </row>
    <row r="505" spans="1:15" x14ac:dyDescent="0.25">
      <c r="B505" s="5" t="s">
        <v>580</v>
      </c>
      <c r="C505" s="5" t="s">
        <v>2331</v>
      </c>
      <c r="D505" s="6">
        <v>210302</v>
      </c>
      <c r="E505" s="6">
        <v>17356400</v>
      </c>
      <c r="F505" s="1">
        <v>1.2116683183148579E-2</v>
      </c>
      <c r="H505" s="32">
        <f t="shared" si="7"/>
        <v>5.2775921273996912E-2</v>
      </c>
      <c r="I505" s="9" t="s">
        <v>939</v>
      </c>
      <c r="J505" s="9">
        <v>0</v>
      </c>
      <c r="K505" s="9">
        <v>0</v>
      </c>
      <c r="L505" s="9" t="s">
        <v>940</v>
      </c>
      <c r="M505" s="75">
        <v>916000</v>
      </c>
      <c r="N505" s="78">
        <v>193824</v>
      </c>
      <c r="O505" s="81">
        <v>210302</v>
      </c>
    </row>
    <row r="506" spans="1:15" x14ac:dyDescent="0.25">
      <c r="A506" t="s">
        <v>1128</v>
      </c>
      <c r="B506" s="5" t="s">
        <v>581</v>
      </c>
      <c r="C506" s="5" t="s">
        <v>2332</v>
      </c>
      <c r="D506" s="6">
        <v>37258</v>
      </c>
      <c r="E506" s="6">
        <v>3865475</v>
      </c>
      <c r="F506" s="1">
        <v>1.7064138301243703E-2</v>
      </c>
      <c r="H506" s="32">
        <f t="shared" si="7"/>
        <v>0</v>
      </c>
      <c r="I506" s="9" t="s">
        <v>939</v>
      </c>
      <c r="J506" s="9">
        <v>0</v>
      </c>
      <c r="K506" s="9">
        <v>0</v>
      </c>
      <c r="L506" s="9" t="s">
        <v>940</v>
      </c>
      <c r="M506" s="75">
        <v>0</v>
      </c>
      <c r="N506" s="78">
        <v>50485</v>
      </c>
      <c r="O506" s="81">
        <v>37258</v>
      </c>
    </row>
    <row r="507" spans="1:15" x14ac:dyDescent="0.25">
      <c r="B507" s="5" t="s">
        <v>582</v>
      </c>
      <c r="C507" s="5" t="s">
        <v>1629</v>
      </c>
      <c r="D507" s="6">
        <v>33883</v>
      </c>
      <c r="E507" s="6">
        <v>3053019</v>
      </c>
      <c r="F507" s="1">
        <v>1.7359538214469023E-2</v>
      </c>
      <c r="H507" s="32">
        <f t="shared" si="7"/>
        <v>0</v>
      </c>
      <c r="I507" s="9" t="s">
        <v>939</v>
      </c>
      <c r="J507" s="9">
        <v>0</v>
      </c>
      <c r="K507" s="9">
        <v>0</v>
      </c>
      <c r="L507" s="9" t="s">
        <v>940</v>
      </c>
      <c r="M507" s="75">
        <v>0</v>
      </c>
      <c r="N507" s="78">
        <v>34140</v>
      </c>
      <c r="O507" s="81">
        <v>33883</v>
      </c>
    </row>
    <row r="508" spans="1:15" x14ac:dyDescent="0.25">
      <c r="B508" s="5" t="s">
        <v>583</v>
      </c>
      <c r="C508" s="5" t="s">
        <v>1543</v>
      </c>
      <c r="D508" s="6">
        <v>674033</v>
      </c>
      <c r="E508" s="6">
        <v>100251320</v>
      </c>
      <c r="F508" s="1">
        <v>6.7234326690162284E-3</v>
      </c>
      <c r="H508" s="32">
        <f t="shared" si="7"/>
        <v>0</v>
      </c>
      <c r="I508" s="9" t="s">
        <v>939</v>
      </c>
      <c r="J508" s="9">
        <v>0</v>
      </c>
      <c r="K508" s="9">
        <v>0</v>
      </c>
      <c r="L508" s="9" t="s">
        <v>940</v>
      </c>
      <c r="M508" s="75">
        <v>0</v>
      </c>
      <c r="N508" s="78">
        <v>1191746</v>
      </c>
      <c r="O508" s="81">
        <v>674033</v>
      </c>
    </row>
    <row r="509" spans="1:15" x14ac:dyDescent="0.25">
      <c r="B509" s="5" t="s">
        <v>584</v>
      </c>
      <c r="C509" s="5" t="s">
        <v>2333</v>
      </c>
      <c r="D509" s="6">
        <v>514288</v>
      </c>
      <c r="E509" s="6">
        <v>100745980</v>
      </c>
      <c r="F509" s="1">
        <v>5.2399807912931117E-3</v>
      </c>
      <c r="H509" s="32">
        <f t="shared" si="7"/>
        <v>9.2311375600296897E-3</v>
      </c>
      <c r="I509" s="9" t="s">
        <v>939</v>
      </c>
      <c r="J509" s="9">
        <v>0</v>
      </c>
      <c r="K509" s="9">
        <v>0</v>
      </c>
      <c r="L509" s="9" t="s">
        <v>940</v>
      </c>
      <c r="M509" s="75">
        <v>930000</v>
      </c>
      <c r="N509" s="78">
        <v>1108668</v>
      </c>
      <c r="O509" s="81">
        <v>514288</v>
      </c>
    </row>
    <row r="510" spans="1:15" x14ac:dyDescent="0.25">
      <c r="B510" s="5" t="s">
        <v>585</v>
      </c>
      <c r="C510" s="5" t="s">
        <v>1618</v>
      </c>
      <c r="D510" s="6">
        <v>4547617</v>
      </c>
      <c r="E510" s="6">
        <v>1886385073</v>
      </c>
      <c r="F510" s="1">
        <v>2.4649818674641302E-3</v>
      </c>
      <c r="H510" s="32">
        <f t="shared" si="7"/>
        <v>0</v>
      </c>
      <c r="I510" s="9" t="s">
        <v>939</v>
      </c>
      <c r="J510" s="9">
        <v>0</v>
      </c>
      <c r="K510" s="9">
        <v>0</v>
      </c>
      <c r="L510" s="9" t="s">
        <v>940</v>
      </c>
      <c r="M510" s="75">
        <v>0</v>
      </c>
      <c r="N510" s="78">
        <v>20240465</v>
      </c>
      <c r="O510" s="81">
        <v>4547617</v>
      </c>
    </row>
    <row r="511" spans="1:15" x14ac:dyDescent="0.25">
      <c r="B511" s="5" t="s">
        <v>586</v>
      </c>
      <c r="C511" s="5" t="s">
        <v>2334</v>
      </c>
      <c r="D511" s="6">
        <v>25498</v>
      </c>
      <c r="E511" s="6">
        <v>7926000</v>
      </c>
      <c r="F511" s="1">
        <v>3.2170073176886198E-3</v>
      </c>
      <c r="H511" s="32">
        <f t="shared" si="7"/>
        <v>0</v>
      </c>
      <c r="I511" s="9" t="s">
        <v>939</v>
      </c>
      <c r="J511" s="9">
        <v>0</v>
      </c>
      <c r="K511" s="9">
        <v>0</v>
      </c>
      <c r="L511" s="9" t="s">
        <v>940</v>
      </c>
      <c r="M511" s="75">
        <v>0</v>
      </c>
      <c r="N511" s="78">
        <v>82915</v>
      </c>
      <c r="O511" s="81">
        <v>25498</v>
      </c>
    </row>
    <row r="512" spans="1:15" x14ac:dyDescent="0.25">
      <c r="A512" t="s">
        <v>1132</v>
      </c>
      <c r="B512" s="5" t="s">
        <v>587</v>
      </c>
      <c r="C512" s="5" t="s">
        <v>1133</v>
      </c>
      <c r="D512" s="6">
        <v>1490006</v>
      </c>
      <c r="E512" s="6">
        <v>223637700</v>
      </c>
      <c r="F512" s="1">
        <v>6.6625886422548609E-3</v>
      </c>
      <c r="H512" s="32">
        <f t="shared" si="7"/>
        <v>4.426802815446591E-3</v>
      </c>
      <c r="I512" s="9" t="s">
        <v>939</v>
      </c>
      <c r="J512" s="9">
        <v>0</v>
      </c>
      <c r="K512" s="9">
        <v>0</v>
      </c>
      <c r="L512" s="9" t="s">
        <v>940</v>
      </c>
      <c r="M512" s="75">
        <v>990000</v>
      </c>
      <c r="N512" s="78">
        <v>2499078</v>
      </c>
      <c r="O512" s="81">
        <v>1490006</v>
      </c>
    </row>
    <row r="513" spans="2:15" x14ac:dyDescent="0.25">
      <c r="B513" s="5" t="s">
        <v>588</v>
      </c>
      <c r="C513" s="5" t="s">
        <v>1564</v>
      </c>
      <c r="D513" s="6">
        <v>473325</v>
      </c>
      <c r="E513" s="6">
        <v>60918207</v>
      </c>
      <c r="F513" s="1">
        <v>7.7698445720833509E-3</v>
      </c>
      <c r="H513" s="32">
        <f t="shared" si="7"/>
        <v>2.757796203686691E-2</v>
      </c>
      <c r="I513" s="9" t="s">
        <v>951</v>
      </c>
      <c r="J513" s="9">
        <v>4</v>
      </c>
      <c r="K513" s="9">
        <v>8</v>
      </c>
      <c r="L513" s="9" t="s">
        <v>949</v>
      </c>
      <c r="M513" s="75">
        <v>1680000</v>
      </c>
      <c r="N513" s="78">
        <v>680600</v>
      </c>
      <c r="O513" s="81">
        <v>473325</v>
      </c>
    </row>
    <row r="514" spans="2:15" x14ac:dyDescent="0.25">
      <c r="B514" s="5" t="s">
        <v>589</v>
      </c>
      <c r="C514" s="5" t="s">
        <v>2335</v>
      </c>
      <c r="D514" s="6">
        <v>146169</v>
      </c>
      <c r="E514" s="6">
        <v>44365248</v>
      </c>
      <c r="F514" s="1">
        <v>3.4436638334581155E-3</v>
      </c>
      <c r="H514" s="32">
        <f t="shared" si="7"/>
        <v>0</v>
      </c>
      <c r="I514" s="9" t="s">
        <v>939</v>
      </c>
      <c r="J514" s="9">
        <v>0</v>
      </c>
      <c r="K514" s="9">
        <v>0</v>
      </c>
      <c r="L514" s="9" t="s">
        <v>940</v>
      </c>
      <c r="M514" s="75">
        <v>0</v>
      </c>
      <c r="N514" s="78">
        <v>497564</v>
      </c>
      <c r="O514" s="81">
        <v>146169</v>
      </c>
    </row>
    <row r="515" spans="2:15" x14ac:dyDescent="0.25">
      <c r="B515" s="5" t="s">
        <v>590</v>
      </c>
      <c r="C515" s="5" t="s">
        <v>2336</v>
      </c>
      <c r="D515" s="6">
        <v>9816781</v>
      </c>
      <c r="E515" s="6">
        <v>2408039212</v>
      </c>
      <c r="F515" s="1">
        <v>4.3535258677506947E-3</v>
      </c>
      <c r="H515" s="32">
        <f t="shared" si="7"/>
        <v>2.9443042142621055E-3</v>
      </c>
      <c r="I515" s="9" t="s">
        <v>944</v>
      </c>
      <c r="J515" s="9">
        <v>1</v>
      </c>
      <c r="K515" s="9">
        <v>1</v>
      </c>
      <c r="L515" s="9" t="s">
        <v>938</v>
      </c>
      <c r="M515" s="75">
        <v>7090000</v>
      </c>
      <c r="N515" s="78">
        <v>25799481</v>
      </c>
      <c r="O515" s="81">
        <v>9816781</v>
      </c>
    </row>
    <row r="516" spans="2:15" x14ac:dyDescent="0.25">
      <c r="B516" s="5" t="s">
        <v>591</v>
      </c>
      <c r="C516" s="5" t="s">
        <v>2337</v>
      </c>
      <c r="D516" s="6">
        <v>48927</v>
      </c>
      <c r="E516" s="6">
        <v>5506700</v>
      </c>
      <c r="F516" s="1">
        <v>8.8849946428895717E-3</v>
      </c>
      <c r="H516" s="32">
        <f t="shared" si="7"/>
        <v>0</v>
      </c>
      <c r="I516" s="9" t="s">
        <v>939</v>
      </c>
      <c r="J516" s="9">
        <v>0</v>
      </c>
      <c r="K516" s="9">
        <v>0</v>
      </c>
      <c r="L516" s="9" t="s">
        <v>940</v>
      </c>
      <c r="M516" s="75">
        <v>0</v>
      </c>
      <c r="N516" s="78">
        <v>66930</v>
      </c>
      <c r="O516" s="81">
        <v>48927</v>
      </c>
    </row>
    <row r="517" spans="2:15" x14ac:dyDescent="0.25">
      <c r="B517" s="5" t="s">
        <v>592</v>
      </c>
      <c r="C517" s="5" t="s">
        <v>1769</v>
      </c>
      <c r="D517" s="6">
        <v>98758</v>
      </c>
      <c r="E517" s="6">
        <v>9671956</v>
      </c>
      <c r="F517" s="1">
        <v>1.0210757782603642E-2</v>
      </c>
      <c r="H517" s="32">
        <f t="shared" ref="H517:H580" si="8">M517/E517</f>
        <v>0</v>
      </c>
      <c r="I517" s="9" t="s">
        <v>939</v>
      </c>
      <c r="J517" s="9">
        <v>0</v>
      </c>
      <c r="K517" s="9">
        <v>0</v>
      </c>
      <c r="L517" s="9" t="s">
        <v>940</v>
      </c>
      <c r="M517" s="75">
        <v>0</v>
      </c>
      <c r="N517" s="78">
        <v>110738</v>
      </c>
      <c r="O517" s="81">
        <v>98758</v>
      </c>
    </row>
    <row r="518" spans="2:15" x14ac:dyDescent="0.25">
      <c r="B518" s="5" t="s">
        <v>593</v>
      </c>
      <c r="C518" s="5" t="s">
        <v>2338</v>
      </c>
      <c r="D518" s="6">
        <v>66928</v>
      </c>
      <c r="E518" s="6">
        <v>23800791</v>
      </c>
      <c r="F518" s="1">
        <v>2.9947744173712547E-3</v>
      </c>
      <c r="H518" s="32">
        <f t="shared" si="8"/>
        <v>0</v>
      </c>
      <c r="I518" s="9" t="s">
        <v>939</v>
      </c>
      <c r="J518" s="9">
        <v>0</v>
      </c>
      <c r="K518" s="9">
        <v>0</v>
      </c>
      <c r="L518" s="9" t="s">
        <v>940</v>
      </c>
      <c r="M518" s="75">
        <v>0</v>
      </c>
      <c r="N518" s="78">
        <v>221756</v>
      </c>
      <c r="O518" s="81">
        <v>66928</v>
      </c>
    </row>
    <row r="519" spans="2:15" x14ac:dyDescent="0.25">
      <c r="B519" s="5" t="s">
        <v>594</v>
      </c>
      <c r="C519" s="5" t="s">
        <v>1870</v>
      </c>
      <c r="D519" s="6">
        <v>974729</v>
      </c>
      <c r="E519" s="6">
        <v>148518829</v>
      </c>
      <c r="F519" s="1">
        <v>6.5629994968516752E-3</v>
      </c>
      <c r="H519" s="32">
        <f t="shared" si="8"/>
        <v>1.0301724099911938E-2</v>
      </c>
      <c r="I519" s="9" t="s">
        <v>942</v>
      </c>
      <c r="J519" s="9">
        <v>2</v>
      </c>
      <c r="K519" s="9">
        <v>4</v>
      </c>
      <c r="L519" s="9" t="s">
        <v>938</v>
      </c>
      <c r="M519" s="75">
        <v>1530000</v>
      </c>
      <c r="N519" s="78">
        <v>1636187</v>
      </c>
      <c r="O519" s="81">
        <v>974729</v>
      </c>
    </row>
    <row r="520" spans="2:15" x14ac:dyDescent="0.25">
      <c r="B520" s="5" t="s">
        <v>595</v>
      </c>
      <c r="C520" s="5" t="s">
        <v>1883</v>
      </c>
      <c r="D520" s="6">
        <v>147596</v>
      </c>
      <c r="E520" s="6">
        <v>7444815</v>
      </c>
      <c r="F520" s="1">
        <v>1.9825341529641771E-2</v>
      </c>
      <c r="H520" s="32">
        <f t="shared" si="8"/>
        <v>0</v>
      </c>
      <c r="I520" s="9" t="s">
        <v>939</v>
      </c>
      <c r="J520" s="9">
        <v>0</v>
      </c>
      <c r="K520" s="9">
        <v>0</v>
      </c>
      <c r="L520" s="9" t="s">
        <v>940</v>
      </c>
      <c r="M520" s="75">
        <v>0</v>
      </c>
      <c r="N520" s="78">
        <v>88869</v>
      </c>
      <c r="O520" s="81">
        <v>147596</v>
      </c>
    </row>
    <row r="521" spans="2:15" x14ac:dyDescent="0.25">
      <c r="B521" s="5" t="s">
        <v>596</v>
      </c>
      <c r="C521" s="5" t="s">
        <v>2339</v>
      </c>
      <c r="D521" s="6">
        <v>21878</v>
      </c>
      <c r="E521" s="6">
        <v>6765369</v>
      </c>
      <c r="F521" s="1">
        <v>3.2338221315053178E-3</v>
      </c>
      <c r="H521" s="32">
        <f t="shared" si="8"/>
        <v>0</v>
      </c>
      <c r="I521" s="9" t="s">
        <v>939</v>
      </c>
      <c r="J521" s="9">
        <v>0</v>
      </c>
      <c r="K521" s="9">
        <v>0</v>
      </c>
      <c r="L521" s="9" t="s">
        <v>940</v>
      </c>
      <c r="M521" s="75">
        <v>0</v>
      </c>
      <c r="N521" s="78">
        <v>71974</v>
      </c>
      <c r="O521" s="81">
        <v>21878</v>
      </c>
    </row>
    <row r="522" spans="2:15" x14ac:dyDescent="0.25">
      <c r="B522" s="5" t="s">
        <v>597</v>
      </c>
      <c r="C522" s="5" t="s">
        <v>1572</v>
      </c>
      <c r="D522" s="6">
        <v>30000</v>
      </c>
      <c r="E522" s="6">
        <v>9558100</v>
      </c>
      <c r="F522" s="1">
        <v>3.1386991138406171E-3</v>
      </c>
      <c r="H522" s="32">
        <f t="shared" si="8"/>
        <v>0</v>
      </c>
      <c r="I522" s="9" t="s">
        <v>939</v>
      </c>
      <c r="J522" s="9">
        <v>0</v>
      </c>
      <c r="K522" s="9">
        <v>0</v>
      </c>
      <c r="L522" s="9" t="s">
        <v>940</v>
      </c>
      <c r="M522" s="75">
        <v>0</v>
      </c>
      <c r="N522" s="78">
        <v>106780</v>
      </c>
      <c r="O522" s="81">
        <v>30000</v>
      </c>
    </row>
    <row r="523" spans="2:15" x14ac:dyDescent="0.25">
      <c r="B523" s="5" t="s">
        <v>598</v>
      </c>
      <c r="C523" s="5" t="s">
        <v>1858</v>
      </c>
      <c r="D523" s="6">
        <v>191502</v>
      </c>
      <c r="E523" s="6">
        <v>9797831</v>
      </c>
      <c r="F523" s="1">
        <v>1.9545346311852084E-2</v>
      </c>
      <c r="H523" s="32">
        <f t="shared" si="8"/>
        <v>0</v>
      </c>
      <c r="I523" s="9" t="s">
        <v>939</v>
      </c>
      <c r="J523" s="9">
        <v>0</v>
      </c>
      <c r="K523" s="9">
        <v>0</v>
      </c>
      <c r="L523" s="9" t="s">
        <v>940</v>
      </c>
      <c r="M523" s="75">
        <v>0</v>
      </c>
      <c r="N523" s="78">
        <v>130145</v>
      </c>
      <c r="O523" s="81">
        <v>191502</v>
      </c>
    </row>
    <row r="524" spans="2:15" x14ac:dyDescent="0.25">
      <c r="B524" s="5" t="s">
        <v>599</v>
      </c>
      <c r="C524" s="5" t="s">
        <v>2340</v>
      </c>
      <c r="D524" s="6">
        <v>136000</v>
      </c>
      <c r="E524" s="6">
        <v>26487653</v>
      </c>
      <c r="F524" s="1">
        <v>5.1344677461608243E-3</v>
      </c>
      <c r="H524" s="32">
        <f t="shared" si="8"/>
        <v>0</v>
      </c>
      <c r="I524" s="9" t="s">
        <v>939</v>
      </c>
      <c r="J524" s="9">
        <v>0</v>
      </c>
      <c r="K524" s="9">
        <v>0</v>
      </c>
      <c r="L524" s="9" t="s">
        <v>940</v>
      </c>
      <c r="M524" s="75">
        <v>0</v>
      </c>
      <c r="N524" s="78">
        <v>255111</v>
      </c>
      <c r="O524" s="81">
        <v>136000</v>
      </c>
    </row>
    <row r="525" spans="2:15" x14ac:dyDescent="0.25">
      <c r="B525" s="5" t="s">
        <v>600</v>
      </c>
      <c r="C525" s="5" t="s">
        <v>1627</v>
      </c>
      <c r="D525" s="6">
        <v>349002713</v>
      </c>
      <c r="E525" s="6">
        <v>58391790385</v>
      </c>
      <c r="F525" s="1">
        <v>6.7658948183491295E-3</v>
      </c>
      <c r="H525" s="32">
        <f t="shared" si="8"/>
        <v>1.1126221609517446E-2</v>
      </c>
      <c r="I525" s="9" t="s">
        <v>944</v>
      </c>
      <c r="J525" s="9">
        <v>1</v>
      </c>
      <c r="K525" s="9">
        <v>1</v>
      </c>
      <c r="L525" s="9" t="s">
        <v>949</v>
      </c>
      <c r="M525" s="75">
        <v>649680000</v>
      </c>
      <c r="N525" s="78">
        <v>635938946</v>
      </c>
      <c r="O525" s="81">
        <v>349002713</v>
      </c>
    </row>
    <row r="526" spans="2:15" x14ac:dyDescent="0.25">
      <c r="B526" s="5" t="s">
        <v>601</v>
      </c>
      <c r="C526" s="5" t="s">
        <v>2341</v>
      </c>
      <c r="D526" s="6">
        <v>14668</v>
      </c>
      <c r="E526" s="6">
        <v>10001500</v>
      </c>
      <c r="F526" s="1">
        <v>1.4665800129980502E-3</v>
      </c>
      <c r="H526" s="32">
        <f t="shared" si="8"/>
        <v>0</v>
      </c>
      <c r="I526" s="9" t="s">
        <v>939</v>
      </c>
      <c r="J526" s="9">
        <v>0</v>
      </c>
      <c r="K526" s="9">
        <v>0</v>
      </c>
      <c r="L526" s="9" t="s">
        <v>940</v>
      </c>
      <c r="M526" s="75">
        <v>0</v>
      </c>
      <c r="N526" s="78">
        <v>108224</v>
      </c>
      <c r="O526" s="81">
        <v>14668</v>
      </c>
    </row>
    <row r="527" spans="2:15" x14ac:dyDescent="0.25">
      <c r="B527" s="5" t="s">
        <v>602</v>
      </c>
      <c r="C527" s="5" t="s">
        <v>1965</v>
      </c>
      <c r="D527" s="6">
        <v>624454</v>
      </c>
      <c r="E527" s="6">
        <v>57563612</v>
      </c>
      <c r="F527" s="1">
        <v>1.0848068394318271E-2</v>
      </c>
      <c r="H527" s="32">
        <f t="shared" si="8"/>
        <v>0</v>
      </c>
      <c r="I527" s="9" t="s">
        <v>937</v>
      </c>
      <c r="J527" s="9">
        <v>3</v>
      </c>
      <c r="K527" s="9">
        <v>5</v>
      </c>
      <c r="L527" s="9" t="s">
        <v>938</v>
      </c>
      <c r="M527" s="75">
        <v>0</v>
      </c>
      <c r="N527" s="78">
        <v>636926</v>
      </c>
      <c r="O527" s="81">
        <v>624454</v>
      </c>
    </row>
    <row r="528" spans="2:15" x14ac:dyDescent="0.25">
      <c r="B528" s="5" t="s">
        <v>603</v>
      </c>
      <c r="C528" s="5" t="s">
        <v>72</v>
      </c>
      <c r="D528" s="6">
        <v>30002</v>
      </c>
      <c r="E528" s="6">
        <v>10086600</v>
      </c>
      <c r="F528" s="1">
        <v>2.9744413380128091E-3</v>
      </c>
      <c r="H528" s="32">
        <f t="shared" si="8"/>
        <v>0</v>
      </c>
      <c r="I528" s="9" t="s">
        <v>939</v>
      </c>
      <c r="J528" s="9">
        <v>0</v>
      </c>
      <c r="K528" s="9">
        <v>0</v>
      </c>
      <c r="L528" s="9" t="s">
        <v>940</v>
      </c>
      <c r="M528" s="75">
        <v>0</v>
      </c>
      <c r="N528" s="78">
        <v>113188</v>
      </c>
      <c r="O528" s="81">
        <v>30002</v>
      </c>
    </row>
    <row r="529" spans="1:15" x14ac:dyDescent="0.25">
      <c r="B529" s="5" t="s">
        <v>604</v>
      </c>
      <c r="C529" s="5" t="s">
        <v>71</v>
      </c>
      <c r="D529" s="6">
        <v>324482</v>
      </c>
      <c r="E529" s="6">
        <v>30929800</v>
      </c>
      <c r="F529" s="1">
        <v>1.0490918143667273E-2</v>
      </c>
      <c r="H529" s="32">
        <f t="shared" si="8"/>
        <v>0</v>
      </c>
      <c r="I529" s="9" t="s">
        <v>939</v>
      </c>
      <c r="J529" s="9">
        <v>0</v>
      </c>
      <c r="K529" s="9">
        <v>0</v>
      </c>
      <c r="L529" s="9" t="s">
        <v>940</v>
      </c>
      <c r="M529" s="75">
        <v>0</v>
      </c>
      <c r="N529" s="78">
        <v>329608</v>
      </c>
      <c r="O529" s="81">
        <v>324482</v>
      </c>
    </row>
    <row r="530" spans="1:15" x14ac:dyDescent="0.25">
      <c r="B530" s="5" t="s">
        <v>605</v>
      </c>
      <c r="C530" s="5" t="s">
        <v>1460</v>
      </c>
      <c r="D530" s="6">
        <v>40323603</v>
      </c>
      <c r="E530" s="6">
        <v>10701114926</v>
      </c>
      <c r="F530" s="1">
        <v>3.9798589487646443E-3</v>
      </c>
      <c r="H530" s="32">
        <f t="shared" si="8"/>
        <v>2.6076722092013538E-3</v>
      </c>
      <c r="I530" s="9" t="s">
        <v>939</v>
      </c>
      <c r="J530" s="9">
        <v>0</v>
      </c>
      <c r="K530" s="9">
        <v>0</v>
      </c>
      <c r="L530" s="9" t="s">
        <v>940</v>
      </c>
      <c r="M530" s="75">
        <v>27905000</v>
      </c>
      <c r="N530" s="78">
        <v>113326237</v>
      </c>
      <c r="O530" s="81">
        <v>40323603</v>
      </c>
    </row>
    <row r="531" spans="1:15" x14ac:dyDescent="0.25">
      <c r="B531" s="5" t="s">
        <v>606</v>
      </c>
      <c r="C531" s="5" t="s">
        <v>1461</v>
      </c>
      <c r="D531" s="6">
        <v>1058609</v>
      </c>
      <c r="E531" s="6">
        <v>395812420</v>
      </c>
      <c r="F531" s="1">
        <v>2.6835085164836413E-3</v>
      </c>
      <c r="H531" s="32">
        <f t="shared" si="8"/>
        <v>1.6636668450171421E-2</v>
      </c>
      <c r="I531" s="9" t="s">
        <v>944</v>
      </c>
      <c r="J531" s="9">
        <v>1</v>
      </c>
      <c r="K531" s="9">
        <v>1</v>
      </c>
      <c r="L531" s="9" t="s">
        <v>938</v>
      </c>
      <c r="M531" s="75">
        <v>6585000</v>
      </c>
      <c r="N531" s="78">
        <v>4679763</v>
      </c>
      <c r="O531" s="81">
        <v>1058609</v>
      </c>
    </row>
    <row r="532" spans="1:15" x14ac:dyDescent="0.25">
      <c r="B532" s="5" t="s">
        <v>607</v>
      </c>
      <c r="C532" s="5" t="s">
        <v>1515</v>
      </c>
      <c r="D532" s="6">
        <v>4943698</v>
      </c>
      <c r="E532" s="6">
        <v>1952755499</v>
      </c>
      <c r="F532" s="1">
        <v>2.6106401966916187E-3</v>
      </c>
      <c r="H532" s="32">
        <f t="shared" si="8"/>
        <v>1.4569156258717056E-3</v>
      </c>
      <c r="I532" s="9" t="s">
        <v>941</v>
      </c>
      <c r="J532" s="9">
        <v>2</v>
      </c>
      <c r="K532" s="9">
        <v>2</v>
      </c>
      <c r="L532" s="9" t="s">
        <v>938</v>
      </c>
      <c r="M532" s="75">
        <v>2845000</v>
      </c>
      <c r="N532" s="78">
        <v>20876259</v>
      </c>
      <c r="O532" s="81">
        <v>4943698</v>
      </c>
    </row>
    <row r="533" spans="1:15" x14ac:dyDescent="0.25">
      <c r="B533" s="5" t="s">
        <v>608</v>
      </c>
      <c r="C533" s="5" t="s">
        <v>2342</v>
      </c>
      <c r="D533" s="6">
        <v>2000</v>
      </c>
      <c r="E533" s="6">
        <v>3029849</v>
      </c>
      <c r="F533" s="1">
        <v>6.6009890261857929E-4</v>
      </c>
      <c r="H533" s="32">
        <f t="shared" si="8"/>
        <v>0</v>
      </c>
      <c r="I533" s="9" t="s">
        <v>939</v>
      </c>
      <c r="J533" s="9">
        <v>0</v>
      </c>
      <c r="K533" s="9">
        <v>0</v>
      </c>
      <c r="L533" s="9" t="s">
        <v>940</v>
      </c>
      <c r="M533" s="75">
        <v>0</v>
      </c>
      <c r="N533" s="78">
        <v>28427</v>
      </c>
      <c r="O533" s="81">
        <v>2000</v>
      </c>
    </row>
    <row r="534" spans="1:15" x14ac:dyDescent="0.25">
      <c r="A534" t="s">
        <v>1134</v>
      </c>
      <c r="B534" s="5" t="s">
        <v>609</v>
      </c>
      <c r="C534" s="5" t="s">
        <v>1135</v>
      </c>
      <c r="D534" s="6">
        <v>2531591</v>
      </c>
      <c r="E534" s="6">
        <v>240287806</v>
      </c>
      <c r="F534" s="1">
        <v>1.0535661555792806E-2</v>
      </c>
      <c r="H534" s="32">
        <f t="shared" si="8"/>
        <v>2.6385025963406566E-2</v>
      </c>
      <c r="I534" s="9" t="s">
        <v>942</v>
      </c>
      <c r="J534" s="9">
        <v>2</v>
      </c>
      <c r="K534" s="9">
        <v>4</v>
      </c>
      <c r="L534" s="9" t="s">
        <v>938</v>
      </c>
      <c r="M534" s="75">
        <v>6340000</v>
      </c>
      <c r="N534" s="78">
        <v>2939107</v>
      </c>
      <c r="O534" s="81">
        <v>2531591</v>
      </c>
    </row>
    <row r="535" spans="1:15" x14ac:dyDescent="0.25">
      <c r="A535" t="s">
        <v>1136</v>
      </c>
      <c r="B535" s="5" t="s">
        <v>610</v>
      </c>
      <c r="C535" s="5" t="s">
        <v>1137</v>
      </c>
      <c r="D535" s="6">
        <v>1682457</v>
      </c>
      <c r="E535" s="6">
        <v>223092400</v>
      </c>
      <c r="F535" s="1">
        <v>7.5415253948588118E-3</v>
      </c>
      <c r="H535" s="32">
        <f t="shared" si="8"/>
        <v>0</v>
      </c>
      <c r="I535" s="9" t="s">
        <v>937</v>
      </c>
      <c r="J535" s="9">
        <v>3</v>
      </c>
      <c r="K535" s="9">
        <v>5</v>
      </c>
      <c r="L535" s="9" t="s">
        <v>938</v>
      </c>
      <c r="M535" s="75">
        <v>0</v>
      </c>
      <c r="N535" s="78">
        <v>2474092</v>
      </c>
      <c r="O535" s="81">
        <v>1682457</v>
      </c>
    </row>
    <row r="536" spans="1:15" x14ac:dyDescent="0.25">
      <c r="B536" s="5" t="s">
        <v>611</v>
      </c>
      <c r="C536" s="5" t="s">
        <v>1608</v>
      </c>
      <c r="D536" s="6">
        <v>11063780</v>
      </c>
      <c r="E536" s="6">
        <v>2060606000</v>
      </c>
      <c r="F536" s="1">
        <v>5.3691875108584563E-3</v>
      </c>
      <c r="H536" s="32">
        <f t="shared" si="8"/>
        <v>7.1653678578049371E-3</v>
      </c>
      <c r="I536" s="9" t="s">
        <v>939</v>
      </c>
      <c r="J536" s="9">
        <v>0</v>
      </c>
      <c r="K536" s="9">
        <v>0</v>
      </c>
      <c r="L536" s="9" t="s">
        <v>940</v>
      </c>
      <c r="M536" s="75">
        <v>14765000</v>
      </c>
      <c r="N536" s="78">
        <v>31026583</v>
      </c>
      <c r="O536" s="81">
        <v>11063780</v>
      </c>
    </row>
    <row r="537" spans="1:15" x14ac:dyDescent="0.25">
      <c r="B537" s="5" t="s">
        <v>612</v>
      </c>
      <c r="C537" s="5" t="s">
        <v>1856</v>
      </c>
      <c r="D537" s="6">
        <v>1391293</v>
      </c>
      <c r="E537" s="6">
        <v>253230700</v>
      </c>
      <c r="F537" s="1">
        <v>5.4941719151745819E-3</v>
      </c>
      <c r="H537" s="32">
        <f t="shared" si="8"/>
        <v>4.4461433783502556E-2</v>
      </c>
      <c r="I537" s="9" t="s">
        <v>943</v>
      </c>
      <c r="J537" s="9">
        <v>2</v>
      </c>
      <c r="K537" s="9">
        <v>3</v>
      </c>
      <c r="L537" s="9" t="s">
        <v>938</v>
      </c>
      <c r="M537" s="75">
        <v>11259000</v>
      </c>
      <c r="N537" s="78">
        <v>2695905</v>
      </c>
      <c r="O537" s="81">
        <v>1391293</v>
      </c>
    </row>
    <row r="538" spans="1:15" x14ac:dyDescent="0.25">
      <c r="B538" s="5" t="s">
        <v>613</v>
      </c>
      <c r="C538" s="5" t="s">
        <v>1485</v>
      </c>
      <c r="D538" s="6">
        <v>15819550</v>
      </c>
      <c r="E538" s="6">
        <v>3082402750</v>
      </c>
      <c r="F538" s="1">
        <v>5.132213822479882E-3</v>
      </c>
      <c r="H538" s="32">
        <f t="shared" si="8"/>
        <v>0</v>
      </c>
      <c r="I538" s="9" t="s">
        <v>939</v>
      </c>
      <c r="J538" s="9">
        <v>0</v>
      </c>
      <c r="K538" s="9">
        <v>0</v>
      </c>
      <c r="L538" s="9" t="s">
        <v>940</v>
      </c>
      <c r="M538" s="75">
        <v>0</v>
      </c>
      <c r="N538" s="78">
        <v>35262229</v>
      </c>
      <c r="O538" s="81">
        <v>15819550</v>
      </c>
    </row>
    <row r="539" spans="1:15" x14ac:dyDescent="0.25">
      <c r="B539" s="5" t="s">
        <v>614</v>
      </c>
      <c r="C539" s="5" t="s">
        <v>1924</v>
      </c>
      <c r="D539" s="6">
        <v>714458</v>
      </c>
      <c r="E539" s="6">
        <v>83566821</v>
      </c>
      <c r="F539" s="1">
        <v>8.5495414501887065E-3</v>
      </c>
      <c r="H539" s="32">
        <f t="shared" si="8"/>
        <v>8.9150214293780543E-3</v>
      </c>
      <c r="I539" s="9" t="s">
        <v>937</v>
      </c>
      <c r="J539" s="9">
        <v>3</v>
      </c>
      <c r="K539" s="9">
        <v>5</v>
      </c>
      <c r="L539" s="9" t="s">
        <v>938</v>
      </c>
      <c r="M539" s="75">
        <v>745000</v>
      </c>
      <c r="N539" s="78">
        <v>1012741</v>
      </c>
      <c r="O539" s="81">
        <v>714458</v>
      </c>
    </row>
    <row r="540" spans="1:15" x14ac:dyDescent="0.25">
      <c r="B540" s="5" t="s">
        <v>615</v>
      </c>
      <c r="C540" s="5" t="s">
        <v>1639</v>
      </c>
      <c r="D540" s="6">
        <v>1070918</v>
      </c>
      <c r="E540" s="6">
        <v>211148300</v>
      </c>
      <c r="F540" s="1">
        <v>5.0718760226816885E-3</v>
      </c>
      <c r="H540" s="32">
        <f t="shared" si="8"/>
        <v>1.6078746549226301E-2</v>
      </c>
      <c r="I540" s="9" t="s">
        <v>937</v>
      </c>
      <c r="J540" s="9">
        <v>3</v>
      </c>
      <c r="K540" s="9">
        <v>5</v>
      </c>
      <c r="L540" s="9" t="s">
        <v>938</v>
      </c>
      <c r="M540" s="75">
        <v>3395000</v>
      </c>
      <c r="N540" s="78">
        <v>2549075</v>
      </c>
      <c r="O540" s="81">
        <v>1070918</v>
      </c>
    </row>
    <row r="541" spans="1:15" x14ac:dyDescent="0.25">
      <c r="A541" t="s">
        <v>1138</v>
      </c>
      <c r="B541" s="5" t="s">
        <v>616</v>
      </c>
      <c r="C541" s="5" t="s">
        <v>1139</v>
      </c>
      <c r="D541" s="6">
        <v>422546</v>
      </c>
      <c r="E541" s="6">
        <v>27465908</v>
      </c>
      <c r="F541" s="1">
        <v>1.5384381248200496E-2</v>
      </c>
      <c r="H541" s="32">
        <f t="shared" si="8"/>
        <v>0</v>
      </c>
      <c r="I541" s="9" t="s">
        <v>939</v>
      </c>
      <c r="J541" s="9">
        <v>0</v>
      </c>
      <c r="K541" s="9">
        <v>0</v>
      </c>
      <c r="L541" s="9" t="s">
        <v>940</v>
      </c>
      <c r="M541" s="75">
        <v>0</v>
      </c>
      <c r="N541" s="78">
        <v>328828</v>
      </c>
      <c r="O541" s="81">
        <v>422546</v>
      </c>
    </row>
    <row r="542" spans="1:15" x14ac:dyDescent="0.25">
      <c r="A542" t="s">
        <v>1140</v>
      </c>
      <c r="B542" s="5" t="s">
        <v>617</v>
      </c>
      <c r="C542" s="5" t="s">
        <v>1141</v>
      </c>
      <c r="D542" s="6">
        <v>1609036</v>
      </c>
      <c r="E542" s="6">
        <v>253663130</v>
      </c>
      <c r="F542" s="1">
        <v>6.3432001331845114E-3</v>
      </c>
      <c r="H542" s="32">
        <f t="shared" si="8"/>
        <v>1.5418086183829711E-2</v>
      </c>
      <c r="I542" s="9" t="s">
        <v>939</v>
      </c>
      <c r="J542" s="9">
        <v>0</v>
      </c>
      <c r="K542" s="9">
        <v>0</v>
      </c>
      <c r="L542" s="9" t="s">
        <v>940</v>
      </c>
      <c r="M542" s="75">
        <v>3911000</v>
      </c>
      <c r="N542" s="78">
        <v>2969943</v>
      </c>
      <c r="O542" s="81">
        <v>1609036</v>
      </c>
    </row>
    <row r="543" spans="1:15" x14ac:dyDescent="0.25">
      <c r="B543" s="5" t="s">
        <v>618</v>
      </c>
      <c r="C543" s="5" t="s">
        <v>1539</v>
      </c>
      <c r="D543" s="6">
        <v>420267</v>
      </c>
      <c r="E543" s="6">
        <v>52185300</v>
      </c>
      <c r="F543" s="1">
        <v>8.0533598542118189E-3</v>
      </c>
      <c r="H543" s="32">
        <f t="shared" si="8"/>
        <v>4.3498839711566283E-2</v>
      </c>
      <c r="I543" s="9" t="s">
        <v>939</v>
      </c>
      <c r="J543" s="9">
        <v>0</v>
      </c>
      <c r="K543" s="9">
        <v>0</v>
      </c>
      <c r="L543" s="9" t="s">
        <v>940</v>
      </c>
      <c r="M543" s="75">
        <v>2270000</v>
      </c>
      <c r="N543" s="78">
        <v>547206</v>
      </c>
      <c r="O543" s="81">
        <v>420267</v>
      </c>
    </row>
    <row r="544" spans="1:15" x14ac:dyDescent="0.25">
      <c r="B544" s="5" t="s">
        <v>619</v>
      </c>
      <c r="C544" s="5" t="s">
        <v>1577</v>
      </c>
      <c r="D544" s="6">
        <v>197960</v>
      </c>
      <c r="E544" s="6">
        <v>13113646</v>
      </c>
      <c r="F544" s="1">
        <v>1.5095725475584746E-2</v>
      </c>
      <c r="H544" s="32">
        <f t="shared" si="8"/>
        <v>0</v>
      </c>
      <c r="I544" s="9" t="s">
        <v>939</v>
      </c>
      <c r="J544" s="9">
        <v>0</v>
      </c>
      <c r="K544" s="9">
        <v>0</v>
      </c>
      <c r="L544" s="9" t="s">
        <v>940</v>
      </c>
      <c r="M544" s="75">
        <v>0</v>
      </c>
      <c r="N544" s="78">
        <v>129836</v>
      </c>
      <c r="O544" s="81">
        <v>197960</v>
      </c>
    </row>
    <row r="545" spans="1:15" x14ac:dyDescent="0.25">
      <c r="A545" t="s">
        <v>1142</v>
      </c>
      <c r="B545" s="5" t="s">
        <v>620</v>
      </c>
      <c r="C545" s="5" t="s">
        <v>1143</v>
      </c>
      <c r="D545" s="6">
        <v>389988</v>
      </c>
      <c r="E545" s="6">
        <v>32784687</v>
      </c>
      <c r="F545" s="1">
        <v>1.189543154705122E-2</v>
      </c>
      <c r="H545" s="32">
        <f t="shared" si="8"/>
        <v>3.5382372264222015E-2</v>
      </c>
      <c r="I545" s="9" t="s">
        <v>937</v>
      </c>
      <c r="J545" s="9">
        <v>3</v>
      </c>
      <c r="K545" s="9">
        <v>5</v>
      </c>
      <c r="L545" s="9" t="s">
        <v>938</v>
      </c>
      <c r="M545" s="75">
        <v>1160000</v>
      </c>
      <c r="N545" s="78">
        <v>419028</v>
      </c>
      <c r="O545" s="81">
        <v>389988</v>
      </c>
    </row>
    <row r="546" spans="1:15" x14ac:dyDescent="0.25">
      <c r="B546" s="5" t="s">
        <v>621</v>
      </c>
      <c r="C546" s="5" t="s">
        <v>1808</v>
      </c>
      <c r="D546" s="6">
        <v>5867940</v>
      </c>
      <c r="E546" s="6">
        <v>1524098291</v>
      </c>
      <c r="F546" s="1">
        <v>4.1505708899190674E-3</v>
      </c>
      <c r="H546" s="32">
        <f t="shared" si="8"/>
        <v>2.6474670458114173E-3</v>
      </c>
      <c r="I546" s="9" t="s">
        <v>943</v>
      </c>
      <c r="J546" s="9">
        <v>2</v>
      </c>
      <c r="K546" s="9">
        <v>3</v>
      </c>
      <c r="L546" s="9" t="s">
        <v>938</v>
      </c>
      <c r="M546" s="75">
        <v>4035000</v>
      </c>
      <c r="N546" s="78">
        <v>15309047</v>
      </c>
      <c r="O546" s="81">
        <v>5867940</v>
      </c>
    </row>
    <row r="547" spans="1:15" x14ac:dyDescent="0.25">
      <c r="B547" s="5" t="s">
        <v>622</v>
      </c>
      <c r="C547" s="5" t="s">
        <v>1472</v>
      </c>
      <c r="D547" s="6">
        <v>4501420</v>
      </c>
      <c r="E547" s="6">
        <v>1310617700</v>
      </c>
      <c r="F547" s="1">
        <v>4.4759276484668256E-3</v>
      </c>
      <c r="H547" s="32">
        <f t="shared" si="8"/>
        <v>4.289885601270302E-3</v>
      </c>
      <c r="I547" s="9" t="s">
        <v>943</v>
      </c>
      <c r="J547" s="9">
        <v>2</v>
      </c>
      <c r="K547" s="9">
        <v>3</v>
      </c>
      <c r="L547" s="9" t="s">
        <v>938</v>
      </c>
      <c r="M547" s="75">
        <v>5622400</v>
      </c>
      <c r="N547" s="78">
        <v>12655371</v>
      </c>
      <c r="O547" s="81">
        <v>4501420</v>
      </c>
    </row>
    <row r="548" spans="1:15" x14ac:dyDescent="0.25">
      <c r="B548" s="5" t="s">
        <v>623</v>
      </c>
      <c r="C548" s="5" t="s">
        <v>1752</v>
      </c>
      <c r="D548" s="6">
        <v>1270601</v>
      </c>
      <c r="E548" s="6">
        <v>226838331</v>
      </c>
      <c r="F548" s="1">
        <v>6.020896001037849E-3</v>
      </c>
      <c r="H548" s="32">
        <f t="shared" si="8"/>
        <v>1.4327384554773505E-3</v>
      </c>
      <c r="I548" s="9" t="s">
        <v>942</v>
      </c>
      <c r="J548" s="9">
        <v>2</v>
      </c>
      <c r="K548" s="9">
        <v>4</v>
      </c>
      <c r="L548" s="9" t="s">
        <v>938</v>
      </c>
      <c r="M548" s="75">
        <v>325000</v>
      </c>
      <c r="N548" s="78">
        <v>2493861</v>
      </c>
      <c r="O548" s="81">
        <v>1270601</v>
      </c>
    </row>
    <row r="549" spans="1:15" x14ac:dyDescent="0.25">
      <c r="A549" t="s">
        <v>1144</v>
      </c>
      <c r="B549" s="5" t="s">
        <v>624</v>
      </c>
      <c r="C549" s="5" t="s">
        <v>1145</v>
      </c>
      <c r="D549" s="6">
        <v>792477</v>
      </c>
      <c r="E549" s="6">
        <v>73096684</v>
      </c>
      <c r="F549" s="1">
        <v>1.0841490429305932E-2</v>
      </c>
      <c r="H549" s="32">
        <f t="shared" si="8"/>
        <v>2.1888817829273897E-2</v>
      </c>
      <c r="I549" s="9" t="s">
        <v>937</v>
      </c>
      <c r="J549" s="9">
        <v>3</v>
      </c>
      <c r="K549" s="9">
        <v>5</v>
      </c>
      <c r="L549" s="9" t="s">
        <v>938</v>
      </c>
      <c r="M549" s="75">
        <v>1600000</v>
      </c>
      <c r="N549" s="78">
        <v>772329</v>
      </c>
      <c r="O549" s="81">
        <v>792477</v>
      </c>
    </row>
    <row r="550" spans="1:15" x14ac:dyDescent="0.25">
      <c r="B550" s="5" t="s">
        <v>625</v>
      </c>
      <c r="C550" s="5" t="s">
        <v>1596</v>
      </c>
      <c r="D550" s="6">
        <v>131537</v>
      </c>
      <c r="E550" s="6">
        <v>17801032</v>
      </c>
      <c r="F550" s="1">
        <v>7.3892906883151494E-3</v>
      </c>
      <c r="H550" s="32">
        <f t="shared" si="8"/>
        <v>0</v>
      </c>
      <c r="I550" s="9" t="s">
        <v>939</v>
      </c>
      <c r="J550" s="9">
        <v>0</v>
      </c>
      <c r="K550" s="9">
        <v>0</v>
      </c>
      <c r="L550" s="9" t="s">
        <v>940</v>
      </c>
      <c r="M550" s="75">
        <v>0</v>
      </c>
      <c r="N550" s="78">
        <v>278051</v>
      </c>
      <c r="O550" s="81">
        <v>131537</v>
      </c>
    </row>
    <row r="551" spans="1:15" x14ac:dyDescent="0.25">
      <c r="B551" s="5" t="s">
        <v>626</v>
      </c>
      <c r="C551" s="5" t="s">
        <v>1956</v>
      </c>
      <c r="D551" s="6">
        <v>12997</v>
      </c>
      <c r="E551" s="6">
        <v>1853200</v>
      </c>
      <c r="F551" s="1">
        <v>7.0132743362831861E-3</v>
      </c>
      <c r="H551" s="32">
        <f t="shared" si="8"/>
        <v>0</v>
      </c>
      <c r="I551" s="9" t="s">
        <v>939</v>
      </c>
      <c r="J551" s="9">
        <v>0</v>
      </c>
      <c r="K551" s="9">
        <v>0</v>
      </c>
      <c r="L551" s="9" t="s">
        <v>940</v>
      </c>
      <c r="M551" s="75">
        <v>0</v>
      </c>
      <c r="N551" s="78">
        <v>28169</v>
      </c>
      <c r="O551" s="81">
        <v>12997</v>
      </c>
    </row>
    <row r="552" spans="1:15" x14ac:dyDescent="0.25">
      <c r="B552" s="5" t="s">
        <v>627</v>
      </c>
      <c r="C552" s="5" t="s">
        <v>2343</v>
      </c>
      <c r="D552" s="6">
        <v>9306</v>
      </c>
      <c r="E552" s="6">
        <v>11745376</v>
      </c>
      <c r="F552" s="1">
        <v>7.9231179997983885E-4</v>
      </c>
      <c r="H552" s="32">
        <f t="shared" si="8"/>
        <v>0</v>
      </c>
      <c r="I552" s="9" t="s">
        <v>939</v>
      </c>
      <c r="J552" s="9">
        <v>0</v>
      </c>
      <c r="K552" s="9">
        <v>0</v>
      </c>
      <c r="L552" s="9" t="s">
        <v>940</v>
      </c>
      <c r="M552" s="75">
        <v>0</v>
      </c>
      <c r="N552" s="78">
        <v>126355</v>
      </c>
      <c r="O552" s="81">
        <v>9306</v>
      </c>
    </row>
    <row r="553" spans="1:15" x14ac:dyDescent="0.25">
      <c r="B553" s="5" t="s">
        <v>628</v>
      </c>
      <c r="C553" s="5" t="s">
        <v>1773</v>
      </c>
      <c r="D553" s="6">
        <v>517642</v>
      </c>
      <c r="E553" s="6">
        <v>65256565</v>
      </c>
      <c r="F553" s="1">
        <v>8.7129164705497444E-3</v>
      </c>
      <c r="H553" s="32">
        <f t="shared" si="8"/>
        <v>0</v>
      </c>
      <c r="I553" s="9" t="s">
        <v>939</v>
      </c>
      <c r="J553" s="9">
        <v>0</v>
      </c>
      <c r="K553" s="9">
        <v>0</v>
      </c>
      <c r="L553" s="9" t="s">
        <v>940</v>
      </c>
      <c r="M553" s="75">
        <v>0</v>
      </c>
      <c r="N553" s="78">
        <v>713375</v>
      </c>
      <c r="O553" s="81">
        <v>517642</v>
      </c>
    </row>
    <row r="554" spans="1:15" x14ac:dyDescent="0.25">
      <c r="B554" s="5" t="s">
        <v>629</v>
      </c>
      <c r="C554" s="5" t="s">
        <v>1960</v>
      </c>
      <c r="D554" s="6">
        <v>20544</v>
      </c>
      <c r="E554" s="6">
        <v>3174017</v>
      </c>
      <c r="F554" s="1">
        <v>6.472555124941045E-3</v>
      </c>
      <c r="H554" s="32">
        <f t="shared" si="8"/>
        <v>0</v>
      </c>
      <c r="I554" s="9" t="s">
        <v>939</v>
      </c>
      <c r="J554" s="9">
        <v>0</v>
      </c>
      <c r="K554" s="9">
        <v>0</v>
      </c>
      <c r="L554" s="9" t="s">
        <v>940</v>
      </c>
      <c r="M554" s="75">
        <v>0</v>
      </c>
      <c r="N554" s="78">
        <v>51945</v>
      </c>
      <c r="O554" s="81">
        <v>20544</v>
      </c>
    </row>
    <row r="555" spans="1:15" x14ac:dyDescent="0.25">
      <c r="B555" s="5" t="s">
        <v>630</v>
      </c>
      <c r="C555" s="5" t="s">
        <v>2344</v>
      </c>
      <c r="D555" s="6">
        <v>35999</v>
      </c>
      <c r="E555" s="6">
        <v>8854397</v>
      </c>
      <c r="F555" s="1">
        <v>4.0656636471122767E-3</v>
      </c>
      <c r="H555" s="32">
        <f t="shared" si="8"/>
        <v>0</v>
      </c>
      <c r="I555" s="9" t="s">
        <v>939</v>
      </c>
      <c r="J555" s="9">
        <v>0</v>
      </c>
      <c r="K555" s="9">
        <v>0</v>
      </c>
      <c r="L555" s="9" t="s">
        <v>940</v>
      </c>
      <c r="M555" s="75">
        <v>0</v>
      </c>
      <c r="N555" s="78">
        <v>95312</v>
      </c>
      <c r="O555" s="81">
        <v>35999</v>
      </c>
    </row>
    <row r="556" spans="1:15" x14ac:dyDescent="0.25">
      <c r="A556" t="s">
        <v>1148</v>
      </c>
      <c r="B556" s="5" t="s">
        <v>631</v>
      </c>
      <c r="C556" s="5" t="s">
        <v>1149</v>
      </c>
      <c r="D556" s="6">
        <v>130003</v>
      </c>
      <c r="E556" s="6">
        <v>23672600</v>
      </c>
      <c r="F556" s="1">
        <v>5.4917077127142775E-3</v>
      </c>
      <c r="H556" s="32">
        <f t="shared" si="8"/>
        <v>8.1106426839468414E-3</v>
      </c>
      <c r="I556" s="9" t="s">
        <v>939</v>
      </c>
      <c r="J556" s="9">
        <v>0</v>
      </c>
      <c r="K556" s="9">
        <v>0</v>
      </c>
      <c r="L556" s="9" t="s">
        <v>940</v>
      </c>
      <c r="M556" s="75">
        <v>192000</v>
      </c>
      <c r="N556" s="78">
        <v>254045</v>
      </c>
      <c r="O556" s="81">
        <v>130003</v>
      </c>
    </row>
    <row r="557" spans="1:15" x14ac:dyDescent="0.25">
      <c r="B557" s="5" t="s">
        <v>632</v>
      </c>
      <c r="C557" s="5" t="s">
        <v>1743</v>
      </c>
      <c r="D557" s="6">
        <v>257297</v>
      </c>
      <c r="E557" s="6">
        <v>29883500</v>
      </c>
      <c r="F557" s="1">
        <v>8.6100021751133564E-3</v>
      </c>
      <c r="H557" s="32">
        <f t="shared" si="8"/>
        <v>0</v>
      </c>
      <c r="I557" s="9" t="s">
        <v>939</v>
      </c>
      <c r="J557" s="9">
        <v>0</v>
      </c>
      <c r="K557" s="9">
        <v>0</v>
      </c>
      <c r="L557" s="9" t="s">
        <v>940</v>
      </c>
      <c r="M557" s="75">
        <v>0</v>
      </c>
      <c r="N557" s="78">
        <v>332807</v>
      </c>
      <c r="O557" s="81">
        <v>257297</v>
      </c>
    </row>
    <row r="558" spans="1:15" x14ac:dyDescent="0.25">
      <c r="B558" s="5" t="s">
        <v>633</v>
      </c>
      <c r="C558" s="5" t="s">
        <v>1863</v>
      </c>
      <c r="D558" s="6">
        <v>280577</v>
      </c>
      <c r="E558" s="6">
        <v>12564148</v>
      </c>
      <c r="F558" s="1">
        <v>2.2331558017304475E-2</v>
      </c>
      <c r="H558" s="32">
        <f t="shared" si="8"/>
        <v>0</v>
      </c>
      <c r="I558" s="9" t="s">
        <v>939</v>
      </c>
      <c r="J558" s="9">
        <v>0</v>
      </c>
      <c r="K558" s="9">
        <v>0</v>
      </c>
      <c r="L558" s="9" t="s">
        <v>940</v>
      </c>
      <c r="M558" s="75">
        <v>0</v>
      </c>
      <c r="N558" s="78">
        <v>130496</v>
      </c>
      <c r="O558" s="81">
        <v>280577</v>
      </c>
    </row>
    <row r="559" spans="1:15" x14ac:dyDescent="0.25">
      <c r="B559" s="5" t="s">
        <v>634</v>
      </c>
      <c r="C559" s="5" t="s">
        <v>1473</v>
      </c>
      <c r="D559" s="6">
        <v>9108591</v>
      </c>
      <c r="E559" s="6">
        <v>2690464500</v>
      </c>
      <c r="F559" s="1">
        <v>3.9429013094207342E-3</v>
      </c>
      <c r="H559" s="32">
        <f t="shared" si="8"/>
        <v>3.6703699305454503E-3</v>
      </c>
      <c r="I559" s="9" t="s">
        <v>941</v>
      </c>
      <c r="J559" s="9">
        <v>2</v>
      </c>
      <c r="K559" s="9">
        <v>2</v>
      </c>
      <c r="L559" s="9" t="s">
        <v>938</v>
      </c>
      <c r="M559" s="75">
        <v>9875000</v>
      </c>
      <c r="N559" s="78">
        <v>26332240</v>
      </c>
      <c r="O559" s="81">
        <v>9108591</v>
      </c>
    </row>
    <row r="560" spans="1:15" x14ac:dyDescent="0.25">
      <c r="B560" s="5" t="s">
        <v>635</v>
      </c>
      <c r="C560" s="5" t="s">
        <v>1881</v>
      </c>
      <c r="D560" s="6">
        <v>335109</v>
      </c>
      <c r="E560" s="6">
        <v>35627600</v>
      </c>
      <c r="F560" s="1">
        <v>1.2523015864105357E-2</v>
      </c>
      <c r="H560" s="32">
        <f t="shared" si="8"/>
        <v>4.5891387575924286E-2</v>
      </c>
      <c r="I560" s="9" t="s">
        <v>943</v>
      </c>
      <c r="J560" s="9">
        <v>2</v>
      </c>
      <c r="K560" s="9">
        <v>3</v>
      </c>
      <c r="L560" s="9" t="s">
        <v>938</v>
      </c>
      <c r="M560" s="75">
        <v>1635000</v>
      </c>
      <c r="N560" s="78">
        <v>359670</v>
      </c>
      <c r="O560" s="81">
        <v>335109</v>
      </c>
    </row>
    <row r="561" spans="1:15" x14ac:dyDescent="0.25">
      <c r="B561" s="5" t="s">
        <v>636</v>
      </c>
      <c r="C561" s="5" t="s">
        <v>1961</v>
      </c>
      <c r="D561" s="6">
        <v>14064801</v>
      </c>
      <c r="E561" s="6">
        <v>2177389934</v>
      </c>
      <c r="F561" s="1">
        <v>7.8358142166372307E-3</v>
      </c>
      <c r="H561" s="32">
        <f t="shared" si="8"/>
        <v>1.8000909891227594E-2</v>
      </c>
      <c r="I561" s="9" t="s">
        <v>943</v>
      </c>
      <c r="J561" s="9">
        <v>2</v>
      </c>
      <c r="K561" s="9">
        <v>3</v>
      </c>
      <c r="L561" s="9" t="s">
        <v>938</v>
      </c>
      <c r="M561" s="75">
        <v>39195000</v>
      </c>
      <c r="N561" s="78">
        <v>22469210</v>
      </c>
      <c r="O561" s="81">
        <v>14064801</v>
      </c>
    </row>
    <row r="562" spans="1:15" x14ac:dyDescent="0.25">
      <c r="B562" s="5" t="s">
        <v>637</v>
      </c>
      <c r="C562" s="5" t="s">
        <v>1970</v>
      </c>
      <c r="D562" s="6">
        <v>636649</v>
      </c>
      <c r="E562" s="6">
        <v>84200806</v>
      </c>
      <c r="F562" s="1">
        <v>7.5610796409716075E-3</v>
      </c>
      <c r="H562" s="32">
        <f t="shared" si="8"/>
        <v>3.2731278130520507E-2</v>
      </c>
      <c r="I562" s="9" t="s">
        <v>937</v>
      </c>
      <c r="J562" s="9">
        <v>3</v>
      </c>
      <c r="K562" s="9">
        <v>5</v>
      </c>
      <c r="L562" s="9" t="s">
        <v>938</v>
      </c>
      <c r="M562" s="75">
        <v>2756000</v>
      </c>
      <c r="N562" s="78">
        <v>911267</v>
      </c>
      <c r="O562" s="81">
        <v>636649</v>
      </c>
    </row>
    <row r="563" spans="1:15" x14ac:dyDescent="0.25">
      <c r="B563" s="5" t="s">
        <v>638</v>
      </c>
      <c r="C563" s="5" t="s">
        <v>1747</v>
      </c>
      <c r="D563" s="6">
        <v>109991</v>
      </c>
      <c r="E563" s="6">
        <v>17638600</v>
      </c>
      <c r="F563" s="1">
        <v>6.2358123660607983E-3</v>
      </c>
      <c r="H563" s="32">
        <f t="shared" si="8"/>
        <v>0</v>
      </c>
      <c r="I563" s="9" t="s">
        <v>939</v>
      </c>
      <c r="J563" s="9">
        <v>0</v>
      </c>
      <c r="K563" s="9">
        <v>0</v>
      </c>
      <c r="L563" s="9" t="s">
        <v>940</v>
      </c>
      <c r="M563" s="75">
        <v>0</v>
      </c>
      <c r="N563" s="78">
        <v>192401</v>
      </c>
      <c r="O563" s="81">
        <v>109991</v>
      </c>
    </row>
    <row r="564" spans="1:15" x14ac:dyDescent="0.25">
      <c r="A564" t="s">
        <v>1150</v>
      </c>
      <c r="B564" s="5" t="s">
        <v>639</v>
      </c>
      <c r="C564" s="5" t="s">
        <v>1151</v>
      </c>
      <c r="D564" s="6">
        <v>4354392</v>
      </c>
      <c r="E564" s="6">
        <v>758732500</v>
      </c>
      <c r="F564" s="1">
        <v>5.7390345082094152E-3</v>
      </c>
      <c r="H564" s="32">
        <f t="shared" si="8"/>
        <v>3.3279186010879988E-3</v>
      </c>
      <c r="I564" s="9" t="s">
        <v>943</v>
      </c>
      <c r="J564" s="9">
        <v>2</v>
      </c>
      <c r="K564" s="9">
        <v>3</v>
      </c>
      <c r="L564" s="9" t="s">
        <v>938</v>
      </c>
      <c r="M564" s="75">
        <v>2525000</v>
      </c>
      <c r="N564" s="78">
        <v>8474198</v>
      </c>
      <c r="O564" s="81">
        <v>4354392</v>
      </c>
    </row>
    <row r="565" spans="1:15" x14ac:dyDescent="0.25">
      <c r="A565" t="s">
        <v>1152</v>
      </c>
      <c r="B565" s="5" t="s">
        <v>640</v>
      </c>
      <c r="C565" s="5" t="s">
        <v>1153</v>
      </c>
      <c r="D565" s="6">
        <v>538595</v>
      </c>
      <c r="E565" s="6">
        <v>41528300</v>
      </c>
      <c r="F565" s="1">
        <v>1.2969348612873631E-2</v>
      </c>
      <c r="H565" s="32">
        <f t="shared" si="8"/>
        <v>0</v>
      </c>
      <c r="I565" s="9" t="s">
        <v>937</v>
      </c>
      <c r="J565" s="9">
        <v>3</v>
      </c>
      <c r="K565" s="9">
        <v>5</v>
      </c>
      <c r="L565" s="9" t="s">
        <v>938</v>
      </c>
      <c r="M565" s="75">
        <v>0</v>
      </c>
      <c r="N565" s="78">
        <v>434199</v>
      </c>
      <c r="O565" s="81">
        <v>538595</v>
      </c>
    </row>
    <row r="566" spans="1:15" x14ac:dyDescent="0.25">
      <c r="B566" s="5" t="s">
        <v>641</v>
      </c>
      <c r="C566" s="5" t="s">
        <v>1725</v>
      </c>
      <c r="D566" s="6">
        <v>39820</v>
      </c>
      <c r="E566" s="6">
        <v>7245324</v>
      </c>
      <c r="F566" s="1">
        <v>7.7302271092362469E-3</v>
      </c>
      <c r="H566" s="32">
        <f t="shared" si="8"/>
        <v>0</v>
      </c>
      <c r="I566" s="9" t="s">
        <v>939</v>
      </c>
      <c r="J566" s="9">
        <v>0</v>
      </c>
      <c r="K566" s="9">
        <v>0</v>
      </c>
      <c r="L566" s="9" t="s">
        <v>940</v>
      </c>
      <c r="M566" s="75">
        <v>0</v>
      </c>
      <c r="N566" s="78">
        <v>72614</v>
      </c>
      <c r="O566" s="81">
        <v>39820</v>
      </c>
    </row>
    <row r="567" spans="1:15" x14ac:dyDescent="0.25">
      <c r="A567" t="s">
        <v>1154</v>
      </c>
      <c r="B567" s="5" t="s">
        <v>642</v>
      </c>
      <c r="C567" s="5" t="s">
        <v>1155</v>
      </c>
      <c r="D567" s="6">
        <v>8105706</v>
      </c>
      <c r="E567" s="6">
        <v>886089500</v>
      </c>
      <c r="F567" s="1">
        <v>9.1477283050978488E-3</v>
      </c>
      <c r="H567" s="32">
        <f t="shared" si="8"/>
        <v>0</v>
      </c>
      <c r="I567" s="9" t="s">
        <v>939</v>
      </c>
      <c r="J567" s="9">
        <v>0</v>
      </c>
      <c r="K567" s="9">
        <v>0</v>
      </c>
      <c r="L567" s="9" t="s">
        <v>940</v>
      </c>
      <c r="M567" s="75">
        <v>0</v>
      </c>
      <c r="N567" s="78">
        <v>10396574</v>
      </c>
      <c r="O567" s="81">
        <v>8105706</v>
      </c>
    </row>
    <row r="568" spans="1:15" x14ac:dyDescent="0.25">
      <c r="B568" s="5" t="s">
        <v>643</v>
      </c>
      <c r="C568" s="5" t="s">
        <v>1496</v>
      </c>
      <c r="D568" s="6">
        <v>538939</v>
      </c>
      <c r="E568" s="6">
        <v>59879100</v>
      </c>
      <c r="F568" s="1">
        <v>9.0004525786125718E-3</v>
      </c>
      <c r="H568" s="32">
        <f t="shared" si="8"/>
        <v>7.5151430131715404E-3</v>
      </c>
      <c r="I568" s="9" t="s">
        <v>946</v>
      </c>
      <c r="J568" s="9">
        <v>3</v>
      </c>
      <c r="K568" s="9">
        <v>6</v>
      </c>
      <c r="L568" s="9" t="s">
        <v>938</v>
      </c>
      <c r="M568" s="75">
        <v>450000</v>
      </c>
      <c r="N568" s="78">
        <v>709366</v>
      </c>
      <c r="O568" s="81">
        <v>538939</v>
      </c>
    </row>
    <row r="569" spans="1:15" x14ac:dyDescent="0.25">
      <c r="B569" s="5" t="s">
        <v>644</v>
      </c>
      <c r="C569" s="5" t="s">
        <v>1770</v>
      </c>
      <c r="D569" s="6">
        <v>83505</v>
      </c>
      <c r="E569" s="6">
        <v>17313007</v>
      </c>
      <c r="F569" s="1">
        <v>4.8232522519051713E-3</v>
      </c>
      <c r="H569" s="32">
        <f t="shared" si="8"/>
        <v>0</v>
      </c>
      <c r="I569" s="9" t="s">
        <v>939</v>
      </c>
      <c r="J569" s="9">
        <v>0</v>
      </c>
      <c r="K569" s="9">
        <v>0</v>
      </c>
      <c r="L569" s="9" t="s">
        <v>940</v>
      </c>
      <c r="M569" s="75">
        <v>0</v>
      </c>
      <c r="N569" s="78">
        <v>219111</v>
      </c>
      <c r="O569" s="81">
        <v>83505</v>
      </c>
    </row>
    <row r="570" spans="1:15" x14ac:dyDescent="0.25">
      <c r="B570" s="5" t="s">
        <v>645</v>
      </c>
      <c r="C570" s="5" t="s">
        <v>1604</v>
      </c>
      <c r="D570" s="6">
        <v>2554650</v>
      </c>
      <c r="E570" s="6">
        <v>435290500</v>
      </c>
      <c r="F570" s="1">
        <v>6.7152281062876403E-3</v>
      </c>
      <c r="H570" s="32">
        <f t="shared" si="8"/>
        <v>2.9704300920879275E-2</v>
      </c>
      <c r="I570" s="9" t="s">
        <v>943</v>
      </c>
      <c r="J570" s="9">
        <v>2</v>
      </c>
      <c r="K570" s="9">
        <v>3</v>
      </c>
      <c r="L570" s="9" t="s">
        <v>938</v>
      </c>
      <c r="M570" s="75">
        <v>12930000</v>
      </c>
      <c r="N570" s="78">
        <v>4730107</v>
      </c>
      <c r="O570" s="81">
        <v>2554650</v>
      </c>
    </row>
    <row r="571" spans="1:15" x14ac:dyDescent="0.25">
      <c r="B571" s="5" t="s">
        <v>646</v>
      </c>
      <c r="C571" s="5" t="s">
        <v>1911</v>
      </c>
      <c r="D571" s="6">
        <v>492668</v>
      </c>
      <c r="E571" s="6">
        <v>74721100</v>
      </c>
      <c r="F571" s="1">
        <v>6.6015891093680369E-3</v>
      </c>
      <c r="H571" s="32">
        <f t="shared" si="8"/>
        <v>2.5963215209626198E-3</v>
      </c>
      <c r="I571" s="9" t="s">
        <v>946</v>
      </c>
      <c r="J571" s="9">
        <v>3</v>
      </c>
      <c r="K571" s="9">
        <v>6</v>
      </c>
      <c r="L571" s="9" t="s">
        <v>938</v>
      </c>
      <c r="M571" s="75">
        <v>194000</v>
      </c>
      <c r="N571" s="78">
        <v>830572</v>
      </c>
      <c r="O571" s="81">
        <v>492668</v>
      </c>
    </row>
    <row r="572" spans="1:15" x14ac:dyDescent="0.25">
      <c r="B572" s="5" t="s">
        <v>647</v>
      </c>
      <c r="C572" s="5" t="s">
        <v>1714</v>
      </c>
      <c r="D572" s="6">
        <v>37574</v>
      </c>
      <c r="E572" s="6">
        <v>1372000</v>
      </c>
      <c r="F572" s="1">
        <v>2.7386297376093296E-2</v>
      </c>
      <c r="H572" s="32">
        <f t="shared" si="8"/>
        <v>0</v>
      </c>
      <c r="I572" s="9" t="s">
        <v>939</v>
      </c>
      <c r="J572" s="9">
        <v>0</v>
      </c>
      <c r="K572" s="9">
        <v>0</v>
      </c>
      <c r="L572" s="9" t="s">
        <v>940</v>
      </c>
      <c r="M572" s="75">
        <v>0</v>
      </c>
      <c r="N572" s="78">
        <v>13915</v>
      </c>
      <c r="O572" s="81">
        <v>37574</v>
      </c>
    </row>
    <row r="573" spans="1:15" x14ac:dyDescent="0.25">
      <c r="B573" s="5" t="s">
        <v>648</v>
      </c>
      <c r="C573" s="5" t="s">
        <v>2345</v>
      </c>
      <c r="D573" s="6">
        <v>20000</v>
      </c>
      <c r="E573" s="6">
        <v>4052038</v>
      </c>
      <c r="F573" s="1">
        <v>4.9357878677347058E-3</v>
      </c>
      <c r="H573" s="32">
        <f t="shared" si="8"/>
        <v>0</v>
      </c>
      <c r="I573" s="9" t="s">
        <v>939</v>
      </c>
      <c r="J573" s="9">
        <v>0</v>
      </c>
      <c r="K573" s="9">
        <v>0</v>
      </c>
      <c r="L573" s="9" t="s">
        <v>940</v>
      </c>
      <c r="M573" s="75">
        <v>0</v>
      </c>
      <c r="N573" s="78">
        <v>40721</v>
      </c>
      <c r="O573" s="81">
        <v>20000</v>
      </c>
    </row>
    <row r="574" spans="1:15" x14ac:dyDescent="0.25">
      <c r="B574" s="5" t="s">
        <v>649</v>
      </c>
      <c r="C574" s="5" t="s">
        <v>2346</v>
      </c>
      <c r="D574" s="6">
        <v>2510110</v>
      </c>
      <c r="E574" s="6">
        <v>740782294</v>
      </c>
      <c r="F574" s="1">
        <v>3.3884584179869719E-3</v>
      </c>
      <c r="H574" s="32">
        <f t="shared" si="8"/>
        <v>2.7065981682332166E-3</v>
      </c>
      <c r="I574" s="9" t="s">
        <v>939</v>
      </c>
      <c r="J574" s="9">
        <v>0</v>
      </c>
      <c r="K574" s="9">
        <v>0</v>
      </c>
      <c r="L574" s="9" t="s">
        <v>940</v>
      </c>
      <c r="M574" s="75">
        <v>2005000</v>
      </c>
      <c r="N574" s="78">
        <v>8127178</v>
      </c>
      <c r="O574" s="81">
        <v>2510110</v>
      </c>
    </row>
    <row r="575" spans="1:15" x14ac:dyDescent="0.25">
      <c r="B575" s="5" t="s">
        <v>650</v>
      </c>
      <c r="C575" s="5" t="s">
        <v>1886</v>
      </c>
      <c r="D575" s="6">
        <v>25435</v>
      </c>
      <c r="E575" s="6">
        <v>6058839</v>
      </c>
      <c r="F575" s="1">
        <v>4.1979989895753952E-3</v>
      </c>
      <c r="H575" s="32">
        <f t="shared" si="8"/>
        <v>0</v>
      </c>
      <c r="I575" s="9" t="s">
        <v>939</v>
      </c>
      <c r="J575" s="9">
        <v>0</v>
      </c>
      <c r="K575" s="9">
        <v>0</v>
      </c>
      <c r="L575" s="9" t="s">
        <v>940</v>
      </c>
      <c r="M575" s="75">
        <v>0</v>
      </c>
      <c r="N575" s="78">
        <v>68810</v>
      </c>
      <c r="O575" s="81">
        <v>25435</v>
      </c>
    </row>
    <row r="576" spans="1:15" x14ac:dyDescent="0.25">
      <c r="B576" s="5" t="s">
        <v>651</v>
      </c>
      <c r="C576" s="5" t="s">
        <v>1449</v>
      </c>
      <c r="D576" s="6">
        <v>4810984</v>
      </c>
      <c r="E576" s="6">
        <v>976987400</v>
      </c>
      <c r="F576" s="1">
        <v>5.0641584528111619E-3</v>
      </c>
      <c r="H576" s="32">
        <f t="shared" si="8"/>
        <v>4.7288225006791287E-4</v>
      </c>
      <c r="I576" s="9" t="s">
        <v>942</v>
      </c>
      <c r="J576" s="9">
        <v>2</v>
      </c>
      <c r="K576" s="9">
        <v>4</v>
      </c>
      <c r="L576" s="9" t="s">
        <v>938</v>
      </c>
      <c r="M576" s="75">
        <v>462000</v>
      </c>
      <c r="N576" s="78">
        <v>10674940</v>
      </c>
      <c r="O576" s="81">
        <v>4810984</v>
      </c>
    </row>
    <row r="577" spans="1:15" x14ac:dyDescent="0.25">
      <c r="B577" s="5" t="s">
        <v>652</v>
      </c>
      <c r="C577" s="5" t="s">
        <v>1507</v>
      </c>
      <c r="D577" s="6">
        <v>6983369</v>
      </c>
      <c r="E577" s="6">
        <v>1244832400</v>
      </c>
      <c r="F577" s="1">
        <v>5.6224532716211435E-3</v>
      </c>
      <c r="H577" s="32">
        <f t="shared" si="8"/>
        <v>9.5314035849323967E-3</v>
      </c>
      <c r="I577" s="9" t="s">
        <v>943</v>
      </c>
      <c r="J577" s="9">
        <v>2</v>
      </c>
      <c r="K577" s="9">
        <v>3</v>
      </c>
      <c r="L577" s="9" t="s">
        <v>938</v>
      </c>
      <c r="M577" s="75">
        <v>11865000</v>
      </c>
      <c r="N577" s="78">
        <v>14302245</v>
      </c>
      <c r="O577" s="81">
        <v>6983369</v>
      </c>
    </row>
    <row r="578" spans="1:15" x14ac:dyDescent="0.25">
      <c r="B578" s="5" t="s">
        <v>653</v>
      </c>
      <c r="C578" s="5" t="s">
        <v>2347</v>
      </c>
      <c r="D578" s="6">
        <v>1934587</v>
      </c>
      <c r="E578" s="6">
        <v>1496660900</v>
      </c>
      <c r="F578" s="1">
        <v>1.3194946163155596E-3</v>
      </c>
      <c r="H578" s="32">
        <f t="shared" si="8"/>
        <v>0</v>
      </c>
      <c r="I578" s="9" t="s">
        <v>939</v>
      </c>
      <c r="J578" s="9">
        <v>0</v>
      </c>
      <c r="K578" s="9">
        <v>0</v>
      </c>
      <c r="L578" s="9" t="s">
        <v>940</v>
      </c>
      <c r="M578" s="75">
        <v>0</v>
      </c>
      <c r="N578" s="78">
        <v>16440673</v>
      </c>
      <c r="O578" s="81">
        <v>1934587</v>
      </c>
    </row>
    <row r="579" spans="1:15" x14ac:dyDescent="0.25">
      <c r="B579" s="5" t="s">
        <v>654</v>
      </c>
      <c r="C579" s="5" t="s">
        <v>1602</v>
      </c>
      <c r="D579" s="6">
        <v>3941333</v>
      </c>
      <c r="E579" s="6">
        <v>1047605300</v>
      </c>
      <c r="F579" s="1">
        <v>5.2418778331877469E-3</v>
      </c>
      <c r="H579" s="32">
        <f t="shared" si="8"/>
        <v>2.4961691201829542E-3</v>
      </c>
      <c r="I579" s="9" t="s">
        <v>943</v>
      </c>
      <c r="J579" s="9">
        <v>2</v>
      </c>
      <c r="K579" s="9">
        <v>3</v>
      </c>
      <c r="L579" s="9" t="s">
        <v>938</v>
      </c>
      <c r="M579" s="75">
        <v>2615000</v>
      </c>
      <c r="N579" s="78">
        <v>10323288</v>
      </c>
      <c r="O579" s="81">
        <v>3941333</v>
      </c>
    </row>
    <row r="580" spans="1:15" x14ac:dyDescent="0.25">
      <c r="B580" s="5" t="s">
        <v>655</v>
      </c>
      <c r="C580" s="5" t="s">
        <v>1540</v>
      </c>
      <c r="D580" s="6">
        <v>10056508</v>
      </c>
      <c r="E580" s="6">
        <v>1589929046</v>
      </c>
      <c r="F580" s="1">
        <v>6.3251300586655238E-3</v>
      </c>
      <c r="H580" s="32">
        <f t="shared" si="8"/>
        <v>7.9751986617898427E-3</v>
      </c>
      <c r="I580" s="9" t="s">
        <v>943</v>
      </c>
      <c r="J580" s="9">
        <v>2</v>
      </c>
      <c r="K580" s="9">
        <v>3</v>
      </c>
      <c r="L580" s="9" t="s">
        <v>938</v>
      </c>
      <c r="M580" s="75">
        <v>12680000</v>
      </c>
      <c r="N580" s="78">
        <v>17767476</v>
      </c>
      <c r="O580" s="81">
        <v>10056508</v>
      </c>
    </row>
    <row r="581" spans="1:15" x14ac:dyDescent="0.25">
      <c r="B581" s="5" t="s">
        <v>656</v>
      </c>
      <c r="C581" s="5" t="s">
        <v>1764</v>
      </c>
      <c r="D581" s="6">
        <v>57999</v>
      </c>
      <c r="E581" s="6">
        <v>6018097</v>
      </c>
      <c r="F581" s="1">
        <v>9.6374318991535035E-3</v>
      </c>
      <c r="H581" s="32">
        <f t="shared" ref="H581:H645" si="9">M581/E581</f>
        <v>0</v>
      </c>
      <c r="I581" s="9" t="s">
        <v>939</v>
      </c>
      <c r="J581" s="9">
        <v>0</v>
      </c>
      <c r="K581" s="9">
        <v>0</v>
      </c>
      <c r="L581" s="9" t="s">
        <v>940</v>
      </c>
      <c r="M581" s="75">
        <v>0</v>
      </c>
      <c r="N581" s="78">
        <v>67481</v>
      </c>
      <c r="O581" s="81">
        <v>57999</v>
      </c>
    </row>
    <row r="582" spans="1:15" x14ac:dyDescent="0.25">
      <c r="B582" s="5" t="s">
        <v>657</v>
      </c>
      <c r="C582" s="5" t="s">
        <v>1505</v>
      </c>
      <c r="D582" s="6">
        <v>51200</v>
      </c>
      <c r="E582" s="6">
        <v>6669400</v>
      </c>
      <c r="F582" s="1">
        <v>7.6768524904789037E-3</v>
      </c>
      <c r="H582" s="32">
        <f t="shared" si="9"/>
        <v>0</v>
      </c>
      <c r="I582" s="9" t="s">
        <v>939</v>
      </c>
      <c r="J582" s="9">
        <v>0</v>
      </c>
      <c r="K582" s="9">
        <v>0</v>
      </c>
      <c r="L582" s="9" t="s">
        <v>940</v>
      </c>
      <c r="M582" s="75">
        <v>0</v>
      </c>
      <c r="N582" s="78">
        <v>67544</v>
      </c>
      <c r="O582" s="81">
        <v>51200</v>
      </c>
    </row>
    <row r="583" spans="1:15" x14ac:dyDescent="0.25">
      <c r="A583" t="s">
        <v>1156</v>
      </c>
      <c r="B583" s="5" t="s">
        <v>658</v>
      </c>
      <c r="C583" s="5" t="s">
        <v>1157</v>
      </c>
      <c r="D583" s="6">
        <v>2327308</v>
      </c>
      <c r="E583" s="6">
        <v>324492600</v>
      </c>
      <c r="F583" s="1">
        <v>9.2980363804906485E-3</v>
      </c>
      <c r="H583" s="32">
        <f t="shared" si="9"/>
        <v>9.5841939076576777E-3</v>
      </c>
      <c r="I583" s="9" t="s">
        <v>942</v>
      </c>
      <c r="J583" s="9">
        <v>2</v>
      </c>
      <c r="K583" s="9">
        <v>4</v>
      </c>
      <c r="L583" s="9" t="s">
        <v>938</v>
      </c>
      <c r="M583" s="75">
        <v>3110000</v>
      </c>
      <c r="N583" s="78">
        <v>3135675</v>
      </c>
      <c r="O583" s="81">
        <v>2327308</v>
      </c>
    </row>
    <row r="584" spans="1:15" x14ac:dyDescent="0.25">
      <c r="B584" s="5" t="s">
        <v>659</v>
      </c>
      <c r="C584" s="5" t="s">
        <v>2348</v>
      </c>
      <c r="D584" s="6">
        <v>1490330</v>
      </c>
      <c r="E584" s="6">
        <v>604232034</v>
      </c>
      <c r="F584" s="1">
        <v>2.729090659235058E-3</v>
      </c>
      <c r="H584" s="32">
        <f t="shared" si="9"/>
        <v>1.4067443501348688E-4</v>
      </c>
      <c r="I584" s="9" t="s">
        <v>941</v>
      </c>
      <c r="J584" s="9">
        <v>2</v>
      </c>
      <c r="K584" s="9">
        <v>2</v>
      </c>
      <c r="L584" s="9" t="s">
        <v>938</v>
      </c>
      <c r="M584" s="75">
        <v>85000</v>
      </c>
      <c r="N584" s="78">
        <v>6039914</v>
      </c>
      <c r="O584" s="81">
        <v>1490330</v>
      </c>
    </row>
    <row r="585" spans="1:15" x14ac:dyDescent="0.25">
      <c r="B585" s="5" t="s">
        <v>660</v>
      </c>
      <c r="C585" s="5" t="s">
        <v>1894</v>
      </c>
      <c r="D585" s="6">
        <v>2204536</v>
      </c>
      <c r="E585" s="6">
        <v>1021945247</v>
      </c>
      <c r="F585" s="1">
        <v>2.4489531189140117E-3</v>
      </c>
      <c r="H585" s="32">
        <f t="shared" si="9"/>
        <v>0</v>
      </c>
      <c r="I585" s="9" t="s">
        <v>939</v>
      </c>
      <c r="J585" s="9">
        <v>0</v>
      </c>
      <c r="K585" s="9">
        <v>0</v>
      </c>
      <c r="L585" s="9" t="s">
        <v>940</v>
      </c>
      <c r="M585" s="75">
        <v>0</v>
      </c>
      <c r="N585" s="78">
        <v>10275944</v>
      </c>
      <c r="O585" s="81">
        <v>2204536</v>
      </c>
    </row>
    <row r="586" spans="1:15" x14ac:dyDescent="0.25">
      <c r="B586" s="5" t="s">
        <v>661</v>
      </c>
      <c r="C586" s="5" t="s">
        <v>1605</v>
      </c>
      <c r="D586" s="6">
        <v>5403594</v>
      </c>
      <c r="E586" s="6">
        <v>899911600</v>
      </c>
      <c r="F586" s="1">
        <v>6.323931150570789E-3</v>
      </c>
      <c r="H586" s="32">
        <f t="shared" si="9"/>
        <v>3.8170415849734574E-3</v>
      </c>
      <c r="I586" s="9" t="s">
        <v>939</v>
      </c>
      <c r="J586" s="9">
        <v>0</v>
      </c>
      <c r="K586" s="9">
        <v>0</v>
      </c>
      <c r="L586" s="9" t="s">
        <v>940</v>
      </c>
      <c r="M586" s="75">
        <v>3435000</v>
      </c>
      <c r="N586" s="78">
        <v>10629046</v>
      </c>
      <c r="O586" s="81">
        <v>5403594</v>
      </c>
    </row>
    <row r="587" spans="1:15" x14ac:dyDescent="0.25">
      <c r="B587" s="5" t="s">
        <v>662</v>
      </c>
      <c r="C587" s="5" t="s">
        <v>1524</v>
      </c>
      <c r="D587" s="6">
        <v>11630275</v>
      </c>
      <c r="E587" s="6">
        <v>2977729500</v>
      </c>
      <c r="F587" s="1">
        <v>4.5448097283517525E-3</v>
      </c>
      <c r="H587" s="32">
        <f t="shared" si="9"/>
        <v>0</v>
      </c>
      <c r="I587" s="9" t="s">
        <v>939</v>
      </c>
      <c r="J587" s="9">
        <v>0</v>
      </c>
      <c r="K587" s="9">
        <v>0</v>
      </c>
      <c r="L587" s="9" t="s">
        <v>940</v>
      </c>
      <c r="M587" s="75">
        <v>0</v>
      </c>
      <c r="N587" s="78">
        <v>29958475</v>
      </c>
      <c r="O587" s="81">
        <v>11630275</v>
      </c>
    </row>
    <row r="588" spans="1:15" x14ac:dyDescent="0.25">
      <c r="B588" s="5" t="s">
        <v>663</v>
      </c>
      <c r="C588" s="5" t="s">
        <v>1541</v>
      </c>
      <c r="D588" s="6">
        <v>44011</v>
      </c>
      <c r="E588" s="6">
        <v>3021620</v>
      </c>
      <c r="F588" s="1">
        <v>1.456536559858619E-2</v>
      </c>
      <c r="H588" s="32">
        <f t="shared" si="9"/>
        <v>0</v>
      </c>
      <c r="I588" s="9" t="s">
        <v>939</v>
      </c>
      <c r="J588" s="9">
        <v>0</v>
      </c>
      <c r="K588" s="9">
        <v>0</v>
      </c>
      <c r="L588" s="9" t="s">
        <v>940</v>
      </c>
      <c r="M588" s="75">
        <v>0</v>
      </c>
      <c r="N588" s="78">
        <v>35009</v>
      </c>
      <c r="O588" s="81">
        <v>44011</v>
      </c>
    </row>
    <row r="589" spans="1:15" x14ac:dyDescent="0.25">
      <c r="B589" s="5" t="s">
        <v>664</v>
      </c>
      <c r="C589" s="5" t="s">
        <v>1986</v>
      </c>
      <c r="D589" s="6">
        <v>35503</v>
      </c>
      <c r="E589" s="6">
        <v>3673800</v>
      </c>
      <c r="F589" s="1">
        <v>9.6638358103326265E-3</v>
      </c>
      <c r="H589" s="32">
        <f t="shared" si="9"/>
        <v>0</v>
      </c>
      <c r="I589" s="9" t="s">
        <v>939</v>
      </c>
      <c r="J589" s="9">
        <v>0</v>
      </c>
      <c r="K589" s="9">
        <v>0</v>
      </c>
      <c r="L589" s="9" t="s">
        <v>940</v>
      </c>
      <c r="M589" s="75">
        <v>0</v>
      </c>
      <c r="N589" s="78">
        <v>36375</v>
      </c>
      <c r="O589" s="81">
        <v>35503</v>
      </c>
    </row>
    <row r="590" spans="1:15" x14ac:dyDescent="0.25">
      <c r="B590" s="5" t="s">
        <v>665</v>
      </c>
      <c r="C590" s="5" t="s">
        <v>1943</v>
      </c>
      <c r="D590" s="6">
        <v>52002</v>
      </c>
      <c r="E590" s="6">
        <v>4924900</v>
      </c>
      <c r="F590" s="1">
        <v>1.0558996121748664E-2</v>
      </c>
      <c r="H590" s="32">
        <f t="shared" si="9"/>
        <v>0</v>
      </c>
      <c r="I590" s="9" t="s">
        <v>939</v>
      </c>
      <c r="J590" s="9">
        <v>0</v>
      </c>
      <c r="K590" s="9">
        <v>0</v>
      </c>
      <c r="L590" s="9" t="s">
        <v>940</v>
      </c>
      <c r="M590" s="75">
        <v>0</v>
      </c>
      <c r="N590" s="78">
        <v>60739</v>
      </c>
      <c r="O590" s="81">
        <v>52002</v>
      </c>
    </row>
    <row r="591" spans="1:15" x14ac:dyDescent="0.25">
      <c r="A591" t="s">
        <v>1158</v>
      </c>
      <c r="B591" s="5" t="s">
        <v>666</v>
      </c>
      <c r="C591" s="5" t="s">
        <v>1159</v>
      </c>
      <c r="D591" s="6">
        <v>118267</v>
      </c>
      <c r="E591" s="6">
        <v>16073300</v>
      </c>
      <c r="F591" s="1">
        <v>7.3579787598066363E-3</v>
      </c>
      <c r="H591" s="32">
        <f t="shared" si="9"/>
        <v>0</v>
      </c>
      <c r="I591" s="9" t="s">
        <v>939</v>
      </c>
      <c r="J591" s="9">
        <v>0</v>
      </c>
      <c r="K591" s="9">
        <v>0</v>
      </c>
      <c r="L591" s="9" t="s">
        <v>940</v>
      </c>
      <c r="M591" s="75">
        <v>0</v>
      </c>
      <c r="N591" s="78">
        <v>193257</v>
      </c>
      <c r="O591" s="81">
        <v>118267</v>
      </c>
    </row>
    <row r="592" spans="1:15" x14ac:dyDescent="0.25">
      <c r="B592" s="5" t="s">
        <v>667</v>
      </c>
      <c r="C592" s="5" t="s">
        <v>1885</v>
      </c>
      <c r="D592" s="6">
        <v>98999</v>
      </c>
      <c r="E592" s="6">
        <v>7035400</v>
      </c>
      <c r="F592" s="1">
        <v>1.4071552434829576E-2</v>
      </c>
      <c r="H592" s="32">
        <f t="shared" si="9"/>
        <v>0</v>
      </c>
      <c r="I592" s="9" t="s">
        <v>939</v>
      </c>
      <c r="J592" s="9">
        <v>0</v>
      </c>
      <c r="K592" s="9">
        <v>0</v>
      </c>
      <c r="L592" s="9" t="s">
        <v>940</v>
      </c>
      <c r="M592" s="75">
        <v>0</v>
      </c>
      <c r="N592" s="78">
        <v>81461</v>
      </c>
      <c r="O592" s="81">
        <v>98999</v>
      </c>
    </row>
    <row r="593" spans="1:15" x14ac:dyDescent="0.25">
      <c r="B593" s="5" t="s">
        <v>668</v>
      </c>
      <c r="C593" s="5" t="s">
        <v>1610</v>
      </c>
      <c r="D593" s="6">
        <v>243812</v>
      </c>
      <c r="E593" s="6">
        <v>9798056</v>
      </c>
      <c r="F593" s="1">
        <v>2.4883711626061334E-2</v>
      </c>
      <c r="H593" s="32">
        <f t="shared" si="9"/>
        <v>0</v>
      </c>
      <c r="I593" s="9" t="s">
        <v>939</v>
      </c>
      <c r="J593" s="9">
        <v>0</v>
      </c>
      <c r="K593" s="9">
        <v>0</v>
      </c>
      <c r="L593" s="9" t="s">
        <v>940</v>
      </c>
      <c r="M593" s="75">
        <v>0</v>
      </c>
      <c r="N593" s="78">
        <v>124940</v>
      </c>
      <c r="O593" s="81">
        <v>243812</v>
      </c>
    </row>
    <row r="594" spans="1:15" x14ac:dyDescent="0.25">
      <c r="A594" t="s">
        <v>1160</v>
      </c>
      <c r="B594" s="5" t="s">
        <v>669</v>
      </c>
      <c r="C594" s="5" t="s">
        <v>1161</v>
      </c>
      <c r="D594" s="6">
        <v>1331482</v>
      </c>
      <c r="E594" s="6">
        <v>125444247</v>
      </c>
      <c r="F594" s="1">
        <v>1.061413362384008E-2</v>
      </c>
      <c r="H594" s="32">
        <f t="shared" si="9"/>
        <v>0</v>
      </c>
      <c r="I594" s="9" t="s">
        <v>937</v>
      </c>
      <c r="J594" s="9">
        <v>3</v>
      </c>
      <c r="K594" s="9">
        <v>5</v>
      </c>
      <c r="L594" s="9" t="s">
        <v>938</v>
      </c>
      <c r="M594" s="75">
        <v>0</v>
      </c>
      <c r="N594" s="78">
        <v>1481291</v>
      </c>
      <c r="O594" s="81">
        <v>1331482</v>
      </c>
    </row>
    <row r="595" spans="1:15" x14ac:dyDescent="0.25">
      <c r="B595" s="5" t="s">
        <v>670</v>
      </c>
      <c r="C595" s="5" t="s">
        <v>1583</v>
      </c>
      <c r="D595" s="6">
        <v>385018</v>
      </c>
      <c r="E595" s="6">
        <v>37614807</v>
      </c>
      <c r="F595" s="1">
        <v>1.0235809531071102E-2</v>
      </c>
      <c r="H595" s="32">
        <f t="shared" si="9"/>
        <v>0</v>
      </c>
      <c r="I595" s="9" t="s">
        <v>939</v>
      </c>
      <c r="J595" s="9">
        <v>0</v>
      </c>
      <c r="K595" s="9">
        <v>0</v>
      </c>
      <c r="L595" s="9" t="s">
        <v>940</v>
      </c>
      <c r="M595" s="75">
        <v>0</v>
      </c>
      <c r="N595" s="78">
        <v>473243</v>
      </c>
      <c r="O595" s="81">
        <v>385018</v>
      </c>
    </row>
    <row r="596" spans="1:15" x14ac:dyDescent="0.25">
      <c r="B596" s="5" t="s">
        <v>671</v>
      </c>
      <c r="C596" s="5" t="s">
        <v>2014</v>
      </c>
      <c r="D596" s="6">
        <v>39549</v>
      </c>
      <c r="E596" s="6">
        <v>3954800</v>
      </c>
      <c r="F596" s="1">
        <v>1.0000252857287346E-2</v>
      </c>
      <c r="H596" s="32">
        <f t="shared" si="9"/>
        <v>1.7248912713664407E-2</v>
      </c>
      <c r="I596" s="9" t="s">
        <v>939</v>
      </c>
      <c r="J596" s="9">
        <v>0</v>
      </c>
      <c r="K596" s="9">
        <v>0</v>
      </c>
      <c r="L596" s="9" t="s">
        <v>940</v>
      </c>
      <c r="M596" s="75">
        <v>68216</v>
      </c>
      <c r="N596" s="78">
        <v>41768</v>
      </c>
      <c r="O596" s="81">
        <v>39549</v>
      </c>
    </row>
    <row r="597" spans="1:15" x14ac:dyDescent="0.25">
      <c r="B597" s="5" t="s">
        <v>672</v>
      </c>
      <c r="C597" s="5" t="s">
        <v>1462</v>
      </c>
      <c r="D597" s="6">
        <v>6549117</v>
      </c>
      <c r="E597" s="6">
        <v>3431022859</v>
      </c>
      <c r="F597" s="1">
        <v>1.9268382262911644E-3</v>
      </c>
      <c r="H597" s="32">
        <f t="shared" si="9"/>
        <v>5.3584603646034757E-3</v>
      </c>
      <c r="I597" s="9" t="s">
        <v>939</v>
      </c>
      <c r="J597" s="9">
        <v>0</v>
      </c>
      <c r="K597" s="9">
        <v>0</v>
      </c>
      <c r="L597" s="9" t="s">
        <v>940</v>
      </c>
      <c r="M597" s="75">
        <v>18385000</v>
      </c>
      <c r="N597" s="78">
        <v>39029346</v>
      </c>
      <c r="O597" s="81">
        <v>6549117</v>
      </c>
    </row>
    <row r="598" spans="1:15" x14ac:dyDescent="0.25">
      <c r="B598" s="5" t="s">
        <v>673</v>
      </c>
      <c r="C598" s="5" t="s">
        <v>1859</v>
      </c>
      <c r="D598" s="6">
        <v>898067</v>
      </c>
      <c r="E598" s="6">
        <v>226842795</v>
      </c>
      <c r="F598" s="1">
        <v>3.9589840179847895E-3</v>
      </c>
      <c r="H598" s="32">
        <f t="shared" si="9"/>
        <v>0</v>
      </c>
      <c r="I598" s="9" t="s">
        <v>939</v>
      </c>
      <c r="J598" s="9">
        <v>0</v>
      </c>
      <c r="K598" s="9">
        <v>0</v>
      </c>
      <c r="L598" s="9" t="s">
        <v>940</v>
      </c>
      <c r="M598" s="75">
        <v>0</v>
      </c>
      <c r="N598" s="78">
        <v>2413286</v>
      </c>
      <c r="O598" s="81">
        <v>898067</v>
      </c>
    </row>
    <row r="599" spans="1:15" x14ac:dyDescent="0.25">
      <c r="B599" s="5" t="s">
        <v>674</v>
      </c>
      <c r="C599" s="5" t="s">
        <v>1619</v>
      </c>
      <c r="D599" s="6">
        <v>101302</v>
      </c>
      <c r="E599" s="6">
        <v>13283891</v>
      </c>
      <c r="F599" s="1">
        <v>9.1423514390474893E-3</v>
      </c>
      <c r="H599" s="32">
        <f t="shared" si="9"/>
        <v>0</v>
      </c>
      <c r="I599" s="9" t="s">
        <v>939</v>
      </c>
      <c r="J599" s="9">
        <v>0</v>
      </c>
      <c r="K599" s="9">
        <v>0</v>
      </c>
      <c r="L599" s="9" t="s">
        <v>940</v>
      </c>
      <c r="M599" s="75">
        <v>0</v>
      </c>
      <c r="N599" s="78">
        <v>148749</v>
      </c>
      <c r="O599" s="81">
        <v>101302</v>
      </c>
    </row>
    <row r="600" spans="1:15" x14ac:dyDescent="0.25">
      <c r="B600" s="5" t="s">
        <v>675</v>
      </c>
      <c r="C600" s="5" t="s">
        <v>1594</v>
      </c>
      <c r="D600" s="6">
        <v>859344</v>
      </c>
      <c r="E600" s="6">
        <v>89071010</v>
      </c>
      <c r="F600" s="1">
        <v>9.6478528760367711E-3</v>
      </c>
      <c r="H600" s="32">
        <f t="shared" si="9"/>
        <v>2.1892644980673285E-2</v>
      </c>
      <c r="I600" s="9" t="s">
        <v>942</v>
      </c>
      <c r="J600" s="9">
        <v>2</v>
      </c>
      <c r="K600" s="9">
        <v>4</v>
      </c>
      <c r="L600" s="9" t="s">
        <v>938</v>
      </c>
      <c r="M600" s="75">
        <v>1950000</v>
      </c>
      <c r="N600" s="78">
        <v>991443</v>
      </c>
      <c r="O600" s="81">
        <v>859344</v>
      </c>
    </row>
    <row r="601" spans="1:15" x14ac:dyDescent="0.25">
      <c r="B601" s="5" t="s">
        <v>676</v>
      </c>
      <c r="C601" s="5" t="s">
        <v>1865</v>
      </c>
      <c r="D601" s="6">
        <v>767400</v>
      </c>
      <c r="E601" s="6">
        <v>113166406</v>
      </c>
      <c r="F601" s="1">
        <v>6.7811643678071737E-3</v>
      </c>
      <c r="H601" s="32">
        <f t="shared" si="9"/>
        <v>0</v>
      </c>
      <c r="I601" s="9" t="s">
        <v>937</v>
      </c>
      <c r="J601" s="9">
        <v>3</v>
      </c>
      <c r="K601" s="9">
        <v>5</v>
      </c>
      <c r="L601" s="9" t="s">
        <v>938</v>
      </c>
      <c r="M601" s="75">
        <v>0</v>
      </c>
      <c r="N601" s="78">
        <v>1149901</v>
      </c>
      <c r="O601" s="81">
        <v>767400</v>
      </c>
    </row>
    <row r="602" spans="1:15" x14ac:dyDescent="0.25">
      <c r="B602" s="5" t="s">
        <v>677</v>
      </c>
      <c r="C602" s="5" t="s">
        <v>1977</v>
      </c>
      <c r="D602" s="6">
        <v>230003</v>
      </c>
      <c r="E602" s="6">
        <v>12154152</v>
      </c>
      <c r="F602" s="1">
        <v>1.8923821258776424E-2</v>
      </c>
      <c r="H602" s="32">
        <f t="shared" si="9"/>
        <v>4.7308936073861838E-3</v>
      </c>
      <c r="I602" s="9" t="s">
        <v>939</v>
      </c>
      <c r="J602" s="9">
        <v>0</v>
      </c>
      <c r="K602" s="9">
        <v>0</v>
      </c>
      <c r="L602" s="9" t="s">
        <v>940</v>
      </c>
      <c r="M602" s="75">
        <v>57500</v>
      </c>
      <c r="N602" s="78">
        <v>157418</v>
      </c>
      <c r="O602" s="81">
        <v>230003</v>
      </c>
    </row>
    <row r="603" spans="1:15" x14ac:dyDescent="0.25">
      <c r="B603" s="5" t="s">
        <v>678</v>
      </c>
      <c r="C603" s="5" t="s">
        <v>2029</v>
      </c>
      <c r="D603" s="6">
        <v>1554245</v>
      </c>
      <c r="E603" s="6">
        <v>295688199</v>
      </c>
      <c r="F603" s="1">
        <v>6.234851462570544E-3</v>
      </c>
      <c r="H603" s="32">
        <f t="shared" si="9"/>
        <v>2.2963378393061944E-2</v>
      </c>
      <c r="I603" s="9" t="s">
        <v>943</v>
      </c>
      <c r="J603" s="9">
        <v>2</v>
      </c>
      <c r="K603" s="9">
        <v>3</v>
      </c>
      <c r="L603" s="9" t="s">
        <v>938</v>
      </c>
      <c r="M603" s="75">
        <v>6790000</v>
      </c>
      <c r="N603" s="78">
        <v>2669998</v>
      </c>
      <c r="O603" s="81">
        <v>1554245</v>
      </c>
    </row>
    <row r="604" spans="1:15" x14ac:dyDescent="0.25">
      <c r="B604" s="5" t="s">
        <v>679</v>
      </c>
      <c r="C604" s="5" t="s">
        <v>1733</v>
      </c>
      <c r="D604" s="6">
        <v>192295</v>
      </c>
      <c r="E604" s="6">
        <v>9923200</v>
      </c>
      <c r="F604" s="1">
        <v>1.9378325540148338E-2</v>
      </c>
      <c r="H604" s="32">
        <f t="shared" si="9"/>
        <v>0</v>
      </c>
      <c r="I604" s="9" t="s">
        <v>939</v>
      </c>
      <c r="J604" s="9">
        <v>0</v>
      </c>
      <c r="K604" s="9">
        <v>0</v>
      </c>
      <c r="L604" s="9" t="s">
        <v>940</v>
      </c>
      <c r="M604" s="75">
        <v>0</v>
      </c>
      <c r="N604" s="78">
        <v>119920</v>
      </c>
      <c r="O604" s="81">
        <v>192295</v>
      </c>
    </row>
    <row r="605" spans="1:15" x14ac:dyDescent="0.25">
      <c r="A605" t="s">
        <v>1162</v>
      </c>
      <c r="B605" s="5" t="s">
        <v>680</v>
      </c>
      <c r="C605" s="5" t="s">
        <v>1163</v>
      </c>
      <c r="D605" s="6">
        <v>7828536</v>
      </c>
      <c r="E605" s="6">
        <v>2087427000</v>
      </c>
      <c r="F605" s="1">
        <v>3.7503280354235142E-3</v>
      </c>
      <c r="H605" s="32">
        <f t="shared" si="9"/>
        <v>0</v>
      </c>
      <c r="I605" s="9" t="s">
        <v>941</v>
      </c>
      <c r="J605" s="9">
        <v>2</v>
      </c>
      <c r="K605" s="9">
        <v>2</v>
      </c>
      <c r="L605" s="9" t="s">
        <v>938</v>
      </c>
      <c r="M605" s="75">
        <v>0</v>
      </c>
      <c r="N605" s="78">
        <v>22591258</v>
      </c>
      <c r="O605" s="81">
        <v>7828536</v>
      </c>
    </row>
    <row r="606" spans="1:15" x14ac:dyDescent="0.25">
      <c r="B606" s="5" t="s">
        <v>681</v>
      </c>
      <c r="C606" s="5" t="s">
        <v>2003</v>
      </c>
      <c r="D606" s="6">
        <v>489042</v>
      </c>
      <c r="E606" s="6">
        <v>138899900</v>
      </c>
      <c r="F606" s="1">
        <v>3.5208232691312231E-3</v>
      </c>
      <c r="H606" s="32">
        <f t="shared" si="9"/>
        <v>4.6076347067204515E-3</v>
      </c>
      <c r="I606" s="9" t="s">
        <v>943</v>
      </c>
      <c r="J606" s="9">
        <v>2</v>
      </c>
      <c r="K606" s="9">
        <v>3</v>
      </c>
      <c r="L606" s="9" t="s">
        <v>938</v>
      </c>
      <c r="M606" s="75">
        <v>640000</v>
      </c>
      <c r="N606" s="78">
        <v>1521297</v>
      </c>
      <c r="O606" s="81">
        <v>489042</v>
      </c>
    </row>
    <row r="607" spans="1:15" x14ac:dyDescent="0.25">
      <c r="A607" t="s">
        <v>1164</v>
      </c>
      <c r="B607" s="5" t="s">
        <v>682</v>
      </c>
      <c r="C607" s="5" t="s">
        <v>1165</v>
      </c>
      <c r="D607" s="6">
        <v>14130419</v>
      </c>
      <c r="E607" s="6">
        <v>2020754306</v>
      </c>
      <c r="F607" s="1">
        <v>6.9926457452269804E-3</v>
      </c>
      <c r="H607" s="32">
        <f t="shared" si="9"/>
        <v>4.3572837993497262E-3</v>
      </c>
      <c r="I607" s="9" t="s">
        <v>939</v>
      </c>
      <c r="J607" s="9">
        <v>0</v>
      </c>
      <c r="K607" s="9">
        <v>0</v>
      </c>
      <c r="L607" s="9" t="s">
        <v>940</v>
      </c>
      <c r="M607" s="75">
        <v>8805000</v>
      </c>
      <c r="N607" s="78">
        <v>23736472</v>
      </c>
      <c r="O607" s="81">
        <v>14130419</v>
      </c>
    </row>
    <row r="608" spans="1:15" x14ac:dyDescent="0.25">
      <c r="B608" s="5" t="s">
        <v>683</v>
      </c>
      <c r="C608" s="5" t="s">
        <v>1673</v>
      </c>
      <c r="D608" s="6">
        <v>77390</v>
      </c>
      <c r="E608" s="6">
        <v>6182669</v>
      </c>
      <c r="F608" s="1">
        <v>1.6499023318246538E-2</v>
      </c>
      <c r="H608" s="32">
        <f t="shared" si="9"/>
        <v>0</v>
      </c>
      <c r="I608" s="9" t="s">
        <v>939</v>
      </c>
      <c r="J608" s="9">
        <v>0</v>
      </c>
      <c r="K608" s="9">
        <v>0</v>
      </c>
      <c r="L608" s="9" t="s">
        <v>940</v>
      </c>
      <c r="M608" s="75">
        <v>0</v>
      </c>
      <c r="N608" s="78">
        <v>61681</v>
      </c>
      <c r="O608" s="81">
        <v>77390</v>
      </c>
    </row>
    <row r="609" spans="1:15" x14ac:dyDescent="0.25">
      <c r="B609" s="5" t="s">
        <v>684</v>
      </c>
      <c r="C609" s="5" t="s">
        <v>1897</v>
      </c>
      <c r="D609" s="6">
        <v>2792860</v>
      </c>
      <c r="E609" s="6">
        <v>313133900</v>
      </c>
      <c r="F609" s="1">
        <v>8.9190598654441434E-3</v>
      </c>
      <c r="H609" s="32">
        <f t="shared" si="9"/>
        <v>2.3153034532511492E-3</v>
      </c>
      <c r="I609" s="9" t="s">
        <v>942</v>
      </c>
      <c r="J609" s="9">
        <v>2</v>
      </c>
      <c r="K609" s="9">
        <v>4</v>
      </c>
      <c r="L609" s="9" t="s">
        <v>938</v>
      </c>
      <c r="M609" s="75">
        <v>725000</v>
      </c>
      <c r="N609" s="78">
        <v>3776443</v>
      </c>
      <c r="O609" s="81">
        <v>2792860</v>
      </c>
    </row>
    <row r="610" spans="1:15" x14ac:dyDescent="0.25">
      <c r="B610" s="5" t="s">
        <v>685</v>
      </c>
      <c r="C610" s="5" t="s">
        <v>1497</v>
      </c>
      <c r="D610" s="6">
        <v>614854</v>
      </c>
      <c r="E610" s="6">
        <v>54033800</v>
      </c>
      <c r="F610" s="1">
        <v>1.1379062734806732E-2</v>
      </c>
      <c r="H610" s="32">
        <f t="shared" si="9"/>
        <v>0</v>
      </c>
      <c r="I610" s="9" t="s">
        <v>951</v>
      </c>
      <c r="J610" s="9">
        <v>4</v>
      </c>
      <c r="K610" s="9">
        <v>8</v>
      </c>
      <c r="L610" s="9" t="s">
        <v>938</v>
      </c>
      <c r="M610" s="75">
        <v>0</v>
      </c>
      <c r="N610" s="78">
        <v>642536</v>
      </c>
      <c r="O610" s="81">
        <v>614854</v>
      </c>
    </row>
    <row r="611" spans="1:15" x14ac:dyDescent="0.25">
      <c r="B611" s="5" t="s">
        <v>686</v>
      </c>
      <c r="C611" s="5" t="s">
        <v>1819</v>
      </c>
      <c r="D611" s="6">
        <v>853682</v>
      </c>
      <c r="E611" s="6">
        <v>159487300</v>
      </c>
      <c r="F611" s="1">
        <v>5.3526644441281536E-3</v>
      </c>
      <c r="H611" s="32">
        <f t="shared" si="9"/>
        <v>0</v>
      </c>
      <c r="I611" s="9" t="s">
        <v>942</v>
      </c>
      <c r="J611" s="9">
        <v>2</v>
      </c>
      <c r="K611" s="9">
        <v>4</v>
      </c>
      <c r="L611" s="9" t="s">
        <v>938</v>
      </c>
      <c r="M611" s="75">
        <v>0</v>
      </c>
      <c r="N611" s="78">
        <v>1907007</v>
      </c>
      <c r="O611" s="81">
        <v>853682</v>
      </c>
    </row>
    <row r="612" spans="1:15" x14ac:dyDescent="0.25">
      <c r="B612" s="5" t="s">
        <v>687</v>
      </c>
      <c r="C612" s="5" t="s">
        <v>1928</v>
      </c>
      <c r="D612" s="6">
        <v>40754</v>
      </c>
      <c r="E612" s="6">
        <v>11748036</v>
      </c>
      <c r="F612" s="1">
        <v>3.4690053724724711E-3</v>
      </c>
      <c r="H612" s="32">
        <f t="shared" si="9"/>
        <v>0</v>
      </c>
      <c r="I612" s="9" t="s">
        <v>939</v>
      </c>
      <c r="J612" s="9">
        <v>0</v>
      </c>
      <c r="K612" s="9">
        <v>0</v>
      </c>
      <c r="L612" s="9" t="s">
        <v>940</v>
      </c>
      <c r="M612" s="75">
        <v>0</v>
      </c>
      <c r="N612" s="78">
        <v>125700</v>
      </c>
      <c r="O612" s="81">
        <v>40754</v>
      </c>
    </row>
    <row r="613" spans="1:15" x14ac:dyDescent="0.25">
      <c r="A613" t="s">
        <v>1168</v>
      </c>
      <c r="B613" s="5" t="s">
        <v>688</v>
      </c>
      <c r="C613" s="5" t="s">
        <v>1169</v>
      </c>
      <c r="D613" s="6">
        <v>956673</v>
      </c>
      <c r="E613" s="6">
        <v>101054200</v>
      </c>
      <c r="F613" s="1">
        <v>9.4669296278630678E-3</v>
      </c>
      <c r="H613" s="32">
        <f t="shared" si="9"/>
        <v>1.1788228495203563E-2</v>
      </c>
      <c r="I613" s="9" t="s">
        <v>937</v>
      </c>
      <c r="J613" s="9">
        <v>3</v>
      </c>
      <c r="K613" s="9">
        <v>5</v>
      </c>
      <c r="L613" s="9" t="s">
        <v>938</v>
      </c>
      <c r="M613" s="75">
        <v>1191250</v>
      </c>
      <c r="N613" s="78">
        <v>1231922</v>
      </c>
      <c r="O613" s="81">
        <v>956673</v>
      </c>
    </row>
    <row r="614" spans="1:15" x14ac:dyDescent="0.25">
      <c r="A614" t="s">
        <v>1170</v>
      </c>
      <c r="B614" s="5" t="s">
        <v>689</v>
      </c>
      <c r="C614" s="5" t="s">
        <v>1171</v>
      </c>
      <c r="D614" s="6">
        <v>219720</v>
      </c>
      <c r="E614" s="6">
        <v>10629900</v>
      </c>
      <c r="F614" s="1">
        <v>2.0669996895549346E-2</v>
      </c>
      <c r="H614" s="32">
        <f t="shared" si="9"/>
        <v>0</v>
      </c>
      <c r="I614" s="9" t="s">
        <v>939</v>
      </c>
      <c r="J614" s="9">
        <v>0</v>
      </c>
      <c r="K614" s="9">
        <v>0</v>
      </c>
      <c r="L614" s="9" t="s">
        <v>940</v>
      </c>
      <c r="M614" s="75">
        <v>0</v>
      </c>
      <c r="N614" s="78">
        <v>119962</v>
      </c>
      <c r="O614" s="81">
        <v>219720</v>
      </c>
    </row>
    <row r="615" spans="1:15" x14ac:dyDescent="0.25">
      <c r="B615" s="5" t="s">
        <v>690</v>
      </c>
      <c r="C615" s="5" t="s">
        <v>1849</v>
      </c>
      <c r="D615" s="6">
        <v>155439</v>
      </c>
      <c r="E615" s="6">
        <v>18131674</v>
      </c>
      <c r="F615" s="1">
        <v>8.5727881496214849E-3</v>
      </c>
      <c r="H615" s="32">
        <f t="shared" si="9"/>
        <v>4.6879289799717332E-3</v>
      </c>
      <c r="I615" s="9" t="s">
        <v>939</v>
      </c>
      <c r="J615" s="9">
        <v>0</v>
      </c>
      <c r="K615" s="9">
        <v>0</v>
      </c>
      <c r="L615" s="9" t="s">
        <v>940</v>
      </c>
      <c r="M615" s="75">
        <v>85000</v>
      </c>
      <c r="N615" s="78">
        <v>200161</v>
      </c>
      <c r="O615" s="81">
        <v>155439</v>
      </c>
    </row>
    <row r="616" spans="1:15" x14ac:dyDescent="0.25">
      <c r="B616" s="5" t="s">
        <v>691</v>
      </c>
      <c r="C616" s="5" t="s">
        <v>1676</v>
      </c>
      <c r="D616" s="6">
        <v>1846622</v>
      </c>
      <c r="E616" s="6">
        <v>301175170</v>
      </c>
      <c r="F616" s="1">
        <v>6.1313885869143858E-3</v>
      </c>
      <c r="H616" s="32">
        <f t="shared" si="9"/>
        <v>6.883037535929672E-3</v>
      </c>
      <c r="I616" s="9" t="s">
        <v>939</v>
      </c>
      <c r="J616" s="9">
        <v>0</v>
      </c>
      <c r="K616" s="9">
        <v>0</v>
      </c>
      <c r="L616" s="9" t="s">
        <v>940</v>
      </c>
      <c r="M616" s="75">
        <v>2073000</v>
      </c>
      <c r="N616" s="78">
        <v>3335898</v>
      </c>
      <c r="O616" s="81">
        <v>1846622</v>
      </c>
    </row>
    <row r="617" spans="1:15" x14ac:dyDescent="0.25">
      <c r="B617" s="5" t="s">
        <v>692</v>
      </c>
      <c r="C617" s="5" t="s">
        <v>1498</v>
      </c>
      <c r="D617" s="6">
        <v>1570179</v>
      </c>
      <c r="E617" s="6">
        <v>294834900</v>
      </c>
      <c r="F617" s="1">
        <v>5.3256212205542832E-3</v>
      </c>
      <c r="H617" s="32">
        <f t="shared" si="9"/>
        <v>8.8184946897399193E-3</v>
      </c>
      <c r="I617" s="9" t="s">
        <v>942</v>
      </c>
      <c r="J617" s="9">
        <v>2</v>
      </c>
      <c r="K617" s="9">
        <v>4</v>
      </c>
      <c r="L617" s="9" t="s">
        <v>938</v>
      </c>
      <c r="M617" s="75">
        <v>2600000</v>
      </c>
      <c r="N617" s="78">
        <v>3219108</v>
      </c>
      <c r="O617" s="81">
        <v>1570179</v>
      </c>
    </row>
    <row r="618" spans="1:15" x14ac:dyDescent="0.25">
      <c r="B618" s="5" t="s">
        <v>693</v>
      </c>
      <c r="C618" s="5" t="s">
        <v>1494</v>
      </c>
      <c r="D618" s="6">
        <v>22998</v>
      </c>
      <c r="E618" s="6">
        <v>2846141</v>
      </c>
      <c r="F618" s="1">
        <v>8.0804148494399968E-3</v>
      </c>
      <c r="H618" s="32">
        <f t="shared" si="9"/>
        <v>0</v>
      </c>
      <c r="I618" s="9" t="s">
        <v>939</v>
      </c>
      <c r="J618" s="9">
        <v>0</v>
      </c>
      <c r="K618" s="9">
        <v>0</v>
      </c>
      <c r="L618" s="9" t="s">
        <v>940</v>
      </c>
      <c r="M618" s="75">
        <v>0</v>
      </c>
      <c r="N618" s="78">
        <v>31256</v>
      </c>
      <c r="O618" s="81">
        <v>22998</v>
      </c>
    </row>
    <row r="619" spans="1:15" x14ac:dyDescent="0.25">
      <c r="B619" s="5" t="s">
        <v>694</v>
      </c>
      <c r="C619" s="5" t="s">
        <v>1576</v>
      </c>
      <c r="D619" s="6">
        <v>94340</v>
      </c>
      <c r="E619" s="6">
        <v>10013800</v>
      </c>
      <c r="F619" s="1">
        <v>9.420999021350537E-3</v>
      </c>
      <c r="H619" s="32">
        <f t="shared" si="9"/>
        <v>2.4965547544388744E-2</v>
      </c>
      <c r="I619" s="9" t="s">
        <v>939</v>
      </c>
      <c r="J619" s="9">
        <v>0</v>
      </c>
      <c r="K619" s="9">
        <v>0</v>
      </c>
      <c r="L619" s="9" t="s">
        <v>940</v>
      </c>
      <c r="M619" s="75">
        <v>250000</v>
      </c>
      <c r="N619" s="78">
        <v>105034</v>
      </c>
      <c r="O619" s="81">
        <v>94340</v>
      </c>
    </row>
    <row r="620" spans="1:15" x14ac:dyDescent="0.25">
      <c r="B620" s="5" t="s">
        <v>695</v>
      </c>
      <c r="C620" s="5" t="s">
        <v>2349</v>
      </c>
      <c r="D620" s="6">
        <v>336254</v>
      </c>
      <c r="E620" s="6">
        <v>81706500</v>
      </c>
      <c r="F620" s="1">
        <v>4.1153886165727332E-3</v>
      </c>
      <c r="H620" s="32">
        <f t="shared" si="9"/>
        <v>0</v>
      </c>
      <c r="I620" s="9" t="s">
        <v>939</v>
      </c>
      <c r="J620" s="9">
        <v>0</v>
      </c>
      <c r="K620" s="9">
        <v>0</v>
      </c>
      <c r="L620" s="9" t="s">
        <v>940</v>
      </c>
      <c r="M620" s="75">
        <v>0</v>
      </c>
      <c r="N620" s="78">
        <v>906176</v>
      </c>
      <c r="O620" s="81">
        <v>336254</v>
      </c>
    </row>
    <row r="621" spans="1:15" x14ac:dyDescent="0.25">
      <c r="B621" s="5" t="s">
        <v>696</v>
      </c>
      <c r="C621" s="5" t="s">
        <v>1760</v>
      </c>
      <c r="D621" s="6">
        <v>312615</v>
      </c>
      <c r="E621" s="6">
        <v>31906165</v>
      </c>
      <c r="F621" s="1">
        <v>9.7979497065849193E-3</v>
      </c>
      <c r="H621" s="32">
        <f t="shared" si="9"/>
        <v>0</v>
      </c>
      <c r="I621" s="9" t="s">
        <v>939</v>
      </c>
      <c r="J621" s="9">
        <v>0</v>
      </c>
      <c r="K621" s="9">
        <v>0</v>
      </c>
      <c r="L621" s="9" t="s">
        <v>940</v>
      </c>
      <c r="M621" s="75">
        <v>0</v>
      </c>
      <c r="N621" s="78">
        <v>361482</v>
      </c>
      <c r="O621" s="81">
        <v>312615</v>
      </c>
    </row>
    <row r="622" spans="1:15" x14ac:dyDescent="0.25">
      <c r="B622" s="5" t="s">
        <v>697</v>
      </c>
      <c r="C622" s="5" t="s">
        <v>1797</v>
      </c>
      <c r="D622" s="6">
        <v>1597047</v>
      </c>
      <c r="E622" s="6">
        <v>212929100</v>
      </c>
      <c r="F622" s="1">
        <v>7.5003698414166965E-3</v>
      </c>
      <c r="H622" s="32">
        <f t="shared" si="9"/>
        <v>1.3009025069847193E-2</v>
      </c>
      <c r="I622" s="9" t="s">
        <v>937</v>
      </c>
      <c r="J622" s="9">
        <v>3</v>
      </c>
      <c r="K622" s="9">
        <v>5</v>
      </c>
      <c r="L622" s="9" t="s">
        <v>938</v>
      </c>
      <c r="M622" s="75">
        <v>2770000</v>
      </c>
      <c r="N622" s="78">
        <v>2586832</v>
      </c>
      <c r="O622" s="81">
        <v>1597047</v>
      </c>
    </row>
    <row r="623" spans="1:15" x14ac:dyDescent="0.25">
      <c r="A623" t="s">
        <v>1172</v>
      </c>
      <c r="B623" s="5" t="s">
        <v>698</v>
      </c>
      <c r="C623" s="5" t="s">
        <v>1173</v>
      </c>
      <c r="D623" s="6">
        <v>2858251</v>
      </c>
      <c r="E623" s="6">
        <v>311342058</v>
      </c>
      <c r="F623" s="1">
        <v>9.1804204621786113E-3</v>
      </c>
      <c r="H623" s="32">
        <f t="shared" si="9"/>
        <v>0</v>
      </c>
      <c r="I623" s="9" t="s">
        <v>942</v>
      </c>
      <c r="J623" s="9">
        <v>2</v>
      </c>
      <c r="K623" s="9">
        <v>4</v>
      </c>
      <c r="L623" s="9" t="s">
        <v>938</v>
      </c>
      <c r="M623" s="75">
        <v>0</v>
      </c>
      <c r="N623" s="78">
        <v>3366043</v>
      </c>
      <c r="O623" s="81">
        <v>2858251</v>
      </c>
    </row>
    <row r="624" spans="1:15" x14ac:dyDescent="0.25">
      <c r="B624" s="5" t="s">
        <v>699</v>
      </c>
      <c r="C624" s="5" t="s">
        <v>1722</v>
      </c>
      <c r="D624" s="6">
        <v>511325</v>
      </c>
      <c r="E624" s="6">
        <v>41901243</v>
      </c>
      <c r="F624" s="1">
        <v>1.2203098604974559E-2</v>
      </c>
      <c r="H624" s="32">
        <f t="shared" si="9"/>
        <v>3.911578470357073E-2</v>
      </c>
      <c r="I624" s="9" t="s">
        <v>939</v>
      </c>
      <c r="J624" s="9">
        <v>0</v>
      </c>
      <c r="K624" s="9">
        <v>0</v>
      </c>
      <c r="L624" s="9" t="s">
        <v>940</v>
      </c>
      <c r="M624" s="75">
        <v>1639000</v>
      </c>
      <c r="N624" s="78">
        <v>527799</v>
      </c>
      <c r="O624" s="81">
        <v>511325</v>
      </c>
    </row>
    <row r="625" spans="1:15" x14ac:dyDescent="0.25">
      <c r="B625" s="5" t="s">
        <v>700</v>
      </c>
      <c r="C625" s="5" t="s">
        <v>2350</v>
      </c>
      <c r="D625" s="6">
        <v>55432</v>
      </c>
      <c r="E625" s="6">
        <v>60538100</v>
      </c>
      <c r="F625" s="1">
        <v>9.9107834570295395E-4</v>
      </c>
      <c r="H625" s="32">
        <f t="shared" si="9"/>
        <v>0</v>
      </c>
      <c r="I625" s="9" t="s">
        <v>939</v>
      </c>
      <c r="J625" s="9">
        <v>0</v>
      </c>
      <c r="K625" s="9">
        <v>0</v>
      </c>
      <c r="L625" s="9" t="s">
        <v>940</v>
      </c>
      <c r="M625" s="75">
        <v>0</v>
      </c>
      <c r="N625" s="78">
        <v>613598</v>
      </c>
      <c r="O625" s="81">
        <v>55432</v>
      </c>
    </row>
    <row r="626" spans="1:15" x14ac:dyDescent="0.25">
      <c r="A626" t="s">
        <v>1174</v>
      </c>
      <c r="B626" s="5" t="s">
        <v>701</v>
      </c>
      <c r="C626" s="5" t="s">
        <v>1175</v>
      </c>
      <c r="D626" s="6">
        <v>2319895</v>
      </c>
      <c r="E626" s="6">
        <v>195558171</v>
      </c>
      <c r="F626" s="1">
        <v>1.1862940771725667E-2</v>
      </c>
      <c r="H626" s="32">
        <f t="shared" si="9"/>
        <v>9.894754026923273E-3</v>
      </c>
      <c r="I626" s="9" t="s">
        <v>942</v>
      </c>
      <c r="J626" s="9">
        <v>2</v>
      </c>
      <c r="K626" s="9">
        <v>4</v>
      </c>
      <c r="L626" s="9" t="s">
        <v>938</v>
      </c>
      <c r="M626" s="75">
        <v>1935000</v>
      </c>
      <c r="N626" s="78">
        <v>2432807</v>
      </c>
      <c r="O626" s="81">
        <v>2319895</v>
      </c>
    </row>
    <row r="627" spans="1:15" x14ac:dyDescent="0.25">
      <c r="A627" s="41" t="s">
        <v>1441</v>
      </c>
      <c r="B627" s="42" t="s">
        <v>702</v>
      </c>
      <c r="C627" s="5" t="s">
        <v>1178</v>
      </c>
      <c r="D627" s="6">
        <v>2336596</v>
      </c>
      <c r="E627" s="6">
        <v>233504500</v>
      </c>
      <c r="F627" s="1">
        <v>1.0006642270277446E-2</v>
      </c>
      <c r="H627" s="32">
        <f t="shared" si="9"/>
        <v>3.4517536064615456E-3</v>
      </c>
      <c r="I627" s="9" t="s">
        <v>939</v>
      </c>
      <c r="J627" s="9">
        <v>0</v>
      </c>
      <c r="K627" s="9">
        <v>0</v>
      </c>
      <c r="L627" s="9" t="s">
        <v>940</v>
      </c>
      <c r="M627" s="75">
        <v>806000</v>
      </c>
      <c r="N627" s="78">
        <v>2635863</v>
      </c>
      <c r="O627" s="81">
        <v>2336596</v>
      </c>
    </row>
    <row r="628" spans="1:15" s="54" customFormat="1" x14ac:dyDescent="0.25">
      <c r="A628" s="41" t="s">
        <v>1439</v>
      </c>
      <c r="B628" s="55" t="s">
        <v>1442</v>
      </c>
      <c r="C628" s="5" t="s">
        <v>1177</v>
      </c>
      <c r="D628" s="56"/>
      <c r="E628" s="56"/>
      <c r="F628" s="57"/>
      <c r="G628" s="17"/>
      <c r="H628" s="58"/>
      <c r="I628" s="59"/>
      <c r="J628" s="59"/>
      <c r="K628" s="59"/>
      <c r="L628" s="59"/>
      <c r="M628" s="77"/>
      <c r="N628" s="77"/>
      <c r="O628" s="83"/>
    </row>
    <row r="629" spans="1:15" x14ac:dyDescent="0.25">
      <c r="B629" s="5" t="s">
        <v>703</v>
      </c>
      <c r="C629" s="5" t="s">
        <v>1778</v>
      </c>
      <c r="D629" s="6">
        <v>233563</v>
      </c>
      <c r="E629" s="6">
        <v>25258900</v>
      </c>
      <c r="F629" s="1">
        <v>9.2467605477673208E-3</v>
      </c>
      <c r="H629" s="32">
        <f t="shared" si="9"/>
        <v>0</v>
      </c>
      <c r="I629" s="9" t="s">
        <v>939</v>
      </c>
      <c r="J629" s="9">
        <v>0</v>
      </c>
      <c r="K629" s="9">
        <v>0</v>
      </c>
      <c r="L629" s="9" t="s">
        <v>940</v>
      </c>
      <c r="M629" s="75">
        <v>0</v>
      </c>
      <c r="N629" s="78">
        <v>301468</v>
      </c>
      <c r="O629" s="81">
        <v>233563</v>
      </c>
    </row>
    <row r="630" spans="1:15" x14ac:dyDescent="0.25">
      <c r="B630" s="5" t="s">
        <v>704</v>
      </c>
      <c r="C630" s="5" t="s">
        <v>1716</v>
      </c>
      <c r="D630" s="6">
        <v>167096</v>
      </c>
      <c r="E630" s="6">
        <v>33572419</v>
      </c>
      <c r="F630" s="1">
        <v>4.9771808221504678E-3</v>
      </c>
      <c r="H630" s="32">
        <f t="shared" si="9"/>
        <v>0</v>
      </c>
      <c r="I630" s="9" t="s">
        <v>939</v>
      </c>
      <c r="J630" s="9">
        <v>0</v>
      </c>
      <c r="K630" s="9">
        <v>0</v>
      </c>
      <c r="L630" s="9" t="s">
        <v>940</v>
      </c>
      <c r="M630" s="75">
        <v>0</v>
      </c>
      <c r="N630" s="78">
        <v>570868</v>
      </c>
      <c r="O630" s="81">
        <v>167096</v>
      </c>
    </row>
    <row r="631" spans="1:15" x14ac:dyDescent="0.25">
      <c r="B631" s="5" t="s">
        <v>705</v>
      </c>
      <c r="C631" s="5" t="s">
        <v>1463</v>
      </c>
      <c r="D631" s="6">
        <v>38181897</v>
      </c>
      <c r="E631" s="6">
        <v>13676615238</v>
      </c>
      <c r="F631" s="1">
        <v>2.983507270616689E-3</v>
      </c>
      <c r="H631" s="32">
        <f t="shared" si="9"/>
        <v>4.6210263943377598E-3</v>
      </c>
      <c r="I631" s="9" t="s">
        <v>944</v>
      </c>
      <c r="J631" s="9">
        <v>1</v>
      </c>
      <c r="K631" s="9">
        <v>1</v>
      </c>
      <c r="L631" s="9" t="s">
        <v>938</v>
      </c>
      <c r="M631" s="75">
        <v>63200000</v>
      </c>
      <c r="N631" s="78">
        <v>146184641</v>
      </c>
      <c r="O631" s="81">
        <v>38181897</v>
      </c>
    </row>
    <row r="632" spans="1:15" x14ac:dyDescent="0.25">
      <c r="B632" s="5" t="s">
        <v>706</v>
      </c>
      <c r="C632" s="5" t="s">
        <v>1997</v>
      </c>
      <c r="D632" s="6">
        <v>67087</v>
      </c>
      <c r="E632" s="6">
        <v>13000976</v>
      </c>
      <c r="F632" s="1">
        <v>5.1601510532747691E-3</v>
      </c>
      <c r="H632" s="32">
        <f t="shared" si="9"/>
        <v>0</v>
      </c>
      <c r="I632" s="9" t="s">
        <v>939</v>
      </c>
      <c r="J632" s="9">
        <v>0</v>
      </c>
      <c r="K632" s="9">
        <v>0</v>
      </c>
      <c r="L632" s="9" t="s">
        <v>940</v>
      </c>
      <c r="M632" s="75">
        <v>0</v>
      </c>
      <c r="N632" s="78">
        <v>134217</v>
      </c>
      <c r="O632" s="81">
        <v>67087</v>
      </c>
    </row>
    <row r="633" spans="1:15" x14ac:dyDescent="0.25">
      <c r="A633" t="s">
        <v>1181</v>
      </c>
      <c r="B633" s="5" t="s">
        <v>707</v>
      </c>
      <c r="C633" s="5" t="s">
        <v>1182</v>
      </c>
      <c r="D633" s="6">
        <v>1034428</v>
      </c>
      <c r="E633" s="6">
        <v>80743500</v>
      </c>
      <c r="F633" s="1">
        <v>1.2811285118925982E-2</v>
      </c>
      <c r="H633" s="32">
        <f t="shared" si="9"/>
        <v>6.380124715921405E-2</v>
      </c>
      <c r="I633" s="9" t="s">
        <v>942</v>
      </c>
      <c r="J633" s="9">
        <v>2</v>
      </c>
      <c r="K633" s="9">
        <v>4</v>
      </c>
      <c r="L633" s="9" t="s">
        <v>938</v>
      </c>
      <c r="M633" s="75">
        <v>5151536</v>
      </c>
      <c r="N633" s="78">
        <v>904820</v>
      </c>
      <c r="O633" s="81">
        <v>1034428</v>
      </c>
    </row>
    <row r="634" spans="1:15" x14ac:dyDescent="0.25">
      <c r="B634" s="5" t="s">
        <v>708</v>
      </c>
      <c r="C634" s="5" t="s">
        <v>1810</v>
      </c>
      <c r="D634" s="6">
        <v>2578839</v>
      </c>
      <c r="E634" s="6">
        <v>347222894</v>
      </c>
      <c r="F634" s="1">
        <v>7.4270419507533967E-3</v>
      </c>
      <c r="H634" s="32">
        <f t="shared" si="9"/>
        <v>5.4777494020886771E-3</v>
      </c>
      <c r="I634" s="9" t="s">
        <v>943</v>
      </c>
      <c r="J634" s="9">
        <v>2</v>
      </c>
      <c r="K634" s="9">
        <v>3</v>
      </c>
      <c r="L634" s="9" t="s">
        <v>938</v>
      </c>
      <c r="M634" s="75">
        <v>1902000</v>
      </c>
      <c r="N634" s="78">
        <v>4186671</v>
      </c>
      <c r="O634" s="81">
        <v>2578839</v>
      </c>
    </row>
    <row r="635" spans="1:15" x14ac:dyDescent="0.25">
      <c r="A635" t="s">
        <v>1183</v>
      </c>
      <c r="B635" s="5" t="s">
        <v>709</v>
      </c>
      <c r="C635" s="5" t="s">
        <v>1184</v>
      </c>
      <c r="D635" s="6">
        <v>399354</v>
      </c>
      <c r="E635" s="6">
        <v>32978031</v>
      </c>
      <c r="F635" s="1">
        <v>1.2109698119939302E-2</v>
      </c>
      <c r="H635" s="32">
        <f t="shared" si="9"/>
        <v>0</v>
      </c>
      <c r="I635" s="9" t="s">
        <v>945</v>
      </c>
      <c r="J635" s="9">
        <v>3</v>
      </c>
      <c r="K635" s="9">
        <v>7</v>
      </c>
      <c r="L635" s="9" t="s">
        <v>938</v>
      </c>
      <c r="M635" s="75">
        <v>0</v>
      </c>
      <c r="N635" s="78">
        <v>390283</v>
      </c>
      <c r="O635" s="81">
        <v>399354</v>
      </c>
    </row>
    <row r="636" spans="1:15" x14ac:dyDescent="0.25">
      <c r="B636" s="5" t="s">
        <v>710</v>
      </c>
      <c r="C636" s="5" t="s">
        <v>1847</v>
      </c>
      <c r="D636" s="6">
        <v>12609294</v>
      </c>
      <c r="E636" s="6">
        <v>4055591900</v>
      </c>
      <c r="F636" s="1">
        <v>3.4434672778589975E-3</v>
      </c>
      <c r="H636" s="32">
        <f t="shared" si="9"/>
        <v>2.2746371497585839E-3</v>
      </c>
      <c r="I636" s="9" t="s">
        <v>941</v>
      </c>
      <c r="J636" s="9">
        <v>2</v>
      </c>
      <c r="K636" s="9">
        <v>2</v>
      </c>
      <c r="L636" s="9" t="s">
        <v>938</v>
      </c>
      <c r="M636" s="75">
        <v>9225000</v>
      </c>
      <c r="N636" s="78">
        <v>41663114</v>
      </c>
      <c r="O636" s="81">
        <v>12609294</v>
      </c>
    </row>
    <row r="637" spans="1:15" x14ac:dyDescent="0.25">
      <c r="B637" s="5" t="s">
        <v>711</v>
      </c>
      <c r="C637" s="5" t="s">
        <v>1974</v>
      </c>
      <c r="D637" s="6">
        <v>1691130</v>
      </c>
      <c r="E637" s="6">
        <v>236145362</v>
      </c>
      <c r="F637" s="1">
        <v>7.1613940908142838E-3</v>
      </c>
      <c r="H637" s="32">
        <f t="shared" si="9"/>
        <v>0</v>
      </c>
      <c r="I637" s="9" t="s">
        <v>939</v>
      </c>
      <c r="J637" s="9">
        <v>0</v>
      </c>
      <c r="K637" s="9">
        <v>0</v>
      </c>
      <c r="L637" s="9" t="s">
        <v>940</v>
      </c>
      <c r="M637" s="75">
        <v>0</v>
      </c>
      <c r="N637" s="78">
        <v>2827936</v>
      </c>
      <c r="O637" s="81">
        <v>1691130</v>
      </c>
    </row>
    <row r="638" spans="1:15" x14ac:dyDescent="0.25">
      <c r="B638" s="5" t="s">
        <v>712</v>
      </c>
      <c r="C638" s="5" t="s">
        <v>2351</v>
      </c>
      <c r="D638" s="6">
        <v>35502</v>
      </c>
      <c r="E638" s="6">
        <v>4253500</v>
      </c>
      <c r="F638" s="1">
        <v>8.3465381450570121E-3</v>
      </c>
      <c r="H638" s="32">
        <f t="shared" si="9"/>
        <v>0</v>
      </c>
      <c r="I638" s="9" t="s">
        <v>939</v>
      </c>
      <c r="J638" s="9">
        <v>0</v>
      </c>
      <c r="K638" s="9">
        <v>0</v>
      </c>
      <c r="L638" s="9" t="s">
        <v>940</v>
      </c>
      <c r="M638" s="75">
        <v>0</v>
      </c>
      <c r="N638" s="78">
        <v>40853</v>
      </c>
      <c r="O638" s="81">
        <v>35502</v>
      </c>
    </row>
    <row r="639" spans="1:15" x14ac:dyDescent="0.25">
      <c r="B639" s="5" t="s">
        <v>713</v>
      </c>
      <c r="C639" s="5" t="s">
        <v>1552</v>
      </c>
      <c r="D639" s="6">
        <v>164847</v>
      </c>
      <c r="E639" s="6">
        <v>34987800</v>
      </c>
      <c r="F639" s="1">
        <v>4.7115565997290481E-3</v>
      </c>
      <c r="H639" s="32">
        <f t="shared" si="9"/>
        <v>3.4297669473359286E-4</v>
      </c>
      <c r="I639" s="9" t="s">
        <v>939</v>
      </c>
      <c r="J639" s="9">
        <v>0</v>
      </c>
      <c r="K639" s="9">
        <v>0</v>
      </c>
      <c r="L639" s="9" t="s">
        <v>940</v>
      </c>
      <c r="M639" s="75">
        <v>12000</v>
      </c>
      <c r="N639" s="78">
        <v>379097</v>
      </c>
      <c r="O639" s="81">
        <v>164847</v>
      </c>
    </row>
    <row r="640" spans="1:15" x14ac:dyDescent="0.25">
      <c r="B640" s="5" t="s">
        <v>714</v>
      </c>
      <c r="C640" s="5" t="s">
        <v>1634</v>
      </c>
      <c r="D640" s="6">
        <v>11080632</v>
      </c>
      <c r="E640" s="6">
        <v>2911267883</v>
      </c>
      <c r="F640" s="1">
        <v>4.4692290517052364E-3</v>
      </c>
      <c r="H640" s="32">
        <f t="shared" si="9"/>
        <v>0</v>
      </c>
      <c r="I640" s="9" t="s">
        <v>941</v>
      </c>
      <c r="J640" s="9">
        <v>2</v>
      </c>
      <c r="K640" s="9">
        <v>2</v>
      </c>
      <c r="L640" s="9" t="s">
        <v>938</v>
      </c>
      <c r="M640" s="75">
        <v>0</v>
      </c>
      <c r="N640" s="78">
        <v>28234532</v>
      </c>
      <c r="O640" s="81">
        <v>11080632</v>
      </c>
    </row>
    <row r="641" spans="1:15" x14ac:dyDescent="0.25">
      <c r="B641" s="5" t="s">
        <v>715</v>
      </c>
      <c r="C641" s="5" t="s">
        <v>1824</v>
      </c>
      <c r="D641" s="6">
        <v>164483</v>
      </c>
      <c r="E641" s="6">
        <v>27293000</v>
      </c>
      <c r="F641" s="1">
        <v>6.0265635877331187E-3</v>
      </c>
      <c r="H641" s="32">
        <f t="shared" si="9"/>
        <v>0</v>
      </c>
      <c r="I641" s="9" t="s">
        <v>939</v>
      </c>
      <c r="J641" s="9">
        <v>0</v>
      </c>
      <c r="K641" s="9">
        <v>0</v>
      </c>
      <c r="L641" s="9" t="s">
        <v>940</v>
      </c>
      <c r="M641" s="75">
        <v>0</v>
      </c>
      <c r="N641" s="78">
        <v>298375</v>
      </c>
      <c r="O641" s="81">
        <v>164483</v>
      </c>
    </row>
    <row r="642" spans="1:15" x14ac:dyDescent="0.25">
      <c r="B642" s="5" t="s">
        <v>716</v>
      </c>
      <c r="C642" s="5" t="s">
        <v>1690</v>
      </c>
      <c r="D642" s="6">
        <v>107893</v>
      </c>
      <c r="E642" s="6">
        <v>43879984</v>
      </c>
      <c r="F642" s="1">
        <v>3.0941442458137635E-3</v>
      </c>
      <c r="H642" s="32">
        <f t="shared" si="9"/>
        <v>0</v>
      </c>
      <c r="I642" s="9" t="s">
        <v>939</v>
      </c>
      <c r="J642" s="9">
        <v>0</v>
      </c>
      <c r="K642" s="9">
        <v>0</v>
      </c>
      <c r="L642" s="9" t="s">
        <v>940</v>
      </c>
      <c r="M642" s="75">
        <v>0</v>
      </c>
      <c r="N642" s="78">
        <v>441990</v>
      </c>
      <c r="O642" s="81">
        <v>107893</v>
      </c>
    </row>
    <row r="643" spans="1:15" x14ac:dyDescent="0.25">
      <c r="B643" s="5" t="s">
        <v>717</v>
      </c>
      <c r="C643" s="5" t="s">
        <v>1937</v>
      </c>
      <c r="D643" s="6">
        <v>253007</v>
      </c>
      <c r="E643" s="6">
        <v>48432938</v>
      </c>
      <c r="F643" s="1">
        <v>5.2238623227853741E-3</v>
      </c>
      <c r="H643" s="32">
        <f t="shared" si="9"/>
        <v>0</v>
      </c>
      <c r="I643" s="9" t="s">
        <v>939</v>
      </c>
      <c r="J643" s="9">
        <v>0</v>
      </c>
      <c r="K643" s="9">
        <v>0</v>
      </c>
      <c r="L643" s="9" t="s">
        <v>940</v>
      </c>
      <c r="M643" s="75">
        <v>0</v>
      </c>
      <c r="N643" s="78">
        <v>602786</v>
      </c>
      <c r="O643" s="81">
        <v>253007</v>
      </c>
    </row>
    <row r="644" spans="1:15" x14ac:dyDescent="0.25">
      <c r="B644" s="5" t="s">
        <v>718</v>
      </c>
      <c r="C644" s="5" t="s">
        <v>1806</v>
      </c>
      <c r="D644" s="6">
        <v>258706</v>
      </c>
      <c r="E644" s="6">
        <v>29454746</v>
      </c>
      <c r="F644" s="1">
        <v>8.7831685936113658E-3</v>
      </c>
      <c r="H644" s="32">
        <f t="shared" si="9"/>
        <v>0</v>
      </c>
      <c r="I644" s="9" t="s">
        <v>939</v>
      </c>
      <c r="J644" s="9">
        <v>0</v>
      </c>
      <c r="K644" s="9">
        <v>0</v>
      </c>
      <c r="L644" s="9" t="s">
        <v>940</v>
      </c>
      <c r="M644" s="75">
        <v>0</v>
      </c>
      <c r="N644" s="78">
        <v>320354</v>
      </c>
      <c r="O644" s="81">
        <v>258706</v>
      </c>
    </row>
    <row r="645" spans="1:15" x14ac:dyDescent="0.25">
      <c r="A645" t="s">
        <v>1185</v>
      </c>
      <c r="B645" s="5" t="s">
        <v>719</v>
      </c>
      <c r="C645" s="5" t="s">
        <v>1186</v>
      </c>
      <c r="D645" s="6">
        <v>803965</v>
      </c>
      <c r="E645" s="6">
        <v>47629798</v>
      </c>
      <c r="F645" s="1">
        <v>1.6879454328149787E-2</v>
      </c>
      <c r="H645" s="32">
        <f t="shared" si="9"/>
        <v>3.6951657867623118E-2</v>
      </c>
      <c r="I645" s="9" t="s">
        <v>939</v>
      </c>
      <c r="J645" s="9">
        <v>0</v>
      </c>
      <c r="K645" s="9">
        <v>0</v>
      </c>
      <c r="L645" s="9" t="s">
        <v>940</v>
      </c>
      <c r="M645" s="75">
        <v>1760000</v>
      </c>
      <c r="N645" s="78">
        <v>534478</v>
      </c>
      <c r="O645" s="81">
        <v>803965</v>
      </c>
    </row>
    <row r="646" spans="1:15" x14ac:dyDescent="0.25">
      <c r="A646" t="s">
        <v>1187</v>
      </c>
      <c r="B646" s="5" t="s">
        <v>720</v>
      </c>
      <c r="C646" s="5" t="s">
        <v>1188</v>
      </c>
      <c r="D646" s="6">
        <v>22863650</v>
      </c>
      <c r="E646" s="6">
        <v>2303186200</v>
      </c>
      <c r="F646" s="1">
        <v>9.9269655228048873E-3</v>
      </c>
      <c r="H646" s="32">
        <f t="shared" ref="H646:H709" si="10">M646/E646</f>
        <v>1.1256145942520843E-2</v>
      </c>
      <c r="I646" s="9" t="s">
        <v>939</v>
      </c>
      <c r="J646" s="9">
        <v>0</v>
      </c>
      <c r="K646" s="9">
        <v>0</v>
      </c>
      <c r="L646" s="9" t="s">
        <v>940</v>
      </c>
      <c r="M646" s="75">
        <v>25925000</v>
      </c>
      <c r="N646" s="78">
        <v>34491471</v>
      </c>
      <c r="O646" s="81">
        <v>22863650</v>
      </c>
    </row>
    <row r="647" spans="1:15" x14ac:dyDescent="0.25">
      <c r="A647" t="s">
        <v>1189</v>
      </c>
      <c r="B647" s="5" t="s">
        <v>721</v>
      </c>
      <c r="C647" s="5" t="s">
        <v>1190</v>
      </c>
      <c r="D647" s="6">
        <v>2927245</v>
      </c>
      <c r="E647" s="6">
        <v>279399845</v>
      </c>
      <c r="F647" s="1">
        <v>1.0476902734144323E-2</v>
      </c>
      <c r="H647" s="32">
        <f t="shared" si="10"/>
        <v>1.4617044615754887E-2</v>
      </c>
      <c r="I647" s="9" t="s">
        <v>943</v>
      </c>
      <c r="J647" s="9">
        <v>2</v>
      </c>
      <c r="K647" s="9">
        <v>3</v>
      </c>
      <c r="L647" s="9" t="s">
        <v>938</v>
      </c>
      <c r="M647" s="75">
        <v>4084000</v>
      </c>
      <c r="N647" s="78">
        <v>3409351</v>
      </c>
      <c r="O647" s="81">
        <v>2927245</v>
      </c>
    </row>
    <row r="648" spans="1:15" x14ac:dyDescent="0.25">
      <c r="B648" s="5" t="s">
        <v>722</v>
      </c>
      <c r="C648" s="5" t="s">
        <v>2352</v>
      </c>
      <c r="D648" s="6">
        <v>7001</v>
      </c>
      <c r="E648" s="6">
        <v>2947353</v>
      </c>
      <c r="F648" s="1">
        <v>2.3753517138937886E-3</v>
      </c>
      <c r="H648" s="32">
        <f t="shared" si="10"/>
        <v>0</v>
      </c>
      <c r="I648" s="9" t="s">
        <v>939</v>
      </c>
      <c r="J648" s="9">
        <v>0</v>
      </c>
      <c r="K648" s="9">
        <v>0</v>
      </c>
      <c r="L648" s="9" t="s">
        <v>940</v>
      </c>
      <c r="M648" s="75">
        <v>0</v>
      </c>
      <c r="N648" s="78">
        <v>32281</v>
      </c>
      <c r="O648" s="81">
        <v>7001</v>
      </c>
    </row>
    <row r="649" spans="1:15" x14ac:dyDescent="0.25">
      <c r="B649" s="5" t="s">
        <v>723</v>
      </c>
      <c r="C649" s="5" t="s">
        <v>1864</v>
      </c>
      <c r="D649" s="6">
        <v>200848</v>
      </c>
      <c r="E649" s="6">
        <v>18548760</v>
      </c>
      <c r="F649" s="1">
        <v>1.0828109264446788E-2</v>
      </c>
      <c r="H649" s="32">
        <f t="shared" si="10"/>
        <v>7.022571859250969E-4</v>
      </c>
      <c r="I649" s="9" t="s">
        <v>939</v>
      </c>
      <c r="J649" s="9">
        <v>0</v>
      </c>
      <c r="K649" s="9">
        <v>0</v>
      </c>
      <c r="L649" s="9" t="s">
        <v>940</v>
      </c>
      <c r="M649" s="75">
        <v>13026</v>
      </c>
      <c r="N649" s="78">
        <v>210561</v>
      </c>
      <c r="O649" s="81">
        <v>200848</v>
      </c>
    </row>
    <row r="650" spans="1:15" x14ac:dyDescent="0.25">
      <c r="A650" t="s">
        <v>1191</v>
      </c>
      <c r="B650" s="5" t="s">
        <v>724</v>
      </c>
      <c r="C650" s="5" t="s">
        <v>1192</v>
      </c>
      <c r="D650" s="6">
        <v>819357</v>
      </c>
      <c r="E650" s="6">
        <v>43898924</v>
      </c>
      <c r="F650" s="1">
        <v>1.866462603958129E-2</v>
      </c>
      <c r="H650" s="32">
        <f t="shared" si="10"/>
        <v>1.1308933221233395E-3</v>
      </c>
      <c r="I650" s="9" t="s">
        <v>946</v>
      </c>
      <c r="J650" s="9">
        <v>3</v>
      </c>
      <c r="K650" s="9">
        <v>6</v>
      </c>
      <c r="L650" s="9" t="s">
        <v>938</v>
      </c>
      <c r="M650" s="75">
        <v>49645</v>
      </c>
      <c r="N650" s="78">
        <v>511399</v>
      </c>
      <c r="O650" s="81">
        <v>819357</v>
      </c>
    </row>
    <row r="651" spans="1:15" x14ac:dyDescent="0.25">
      <c r="B651" s="5" t="s">
        <v>725</v>
      </c>
      <c r="C651" s="5" t="s">
        <v>1955</v>
      </c>
      <c r="D651" s="6">
        <v>63003</v>
      </c>
      <c r="E651" s="6">
        <v>3462662</v>
      </c>
      <c r="F651" s="1">
        <v>1.8194960986662862E-2</v>
      </c>
      <c r="H651" s="32">
        <f t="shared" si="10"/>
        <v>0</v>
      </c>
      <c r="I651" s="9" t="s">
        <v>939</v>
      </c>
      <c r="J651" s="9">
        <v>0</v>
      </c>
      <c r="K651" s="9">
        <v>0</v>
      </c>
      <c r="L651" s="9" t="s">
        <v>940</v>
      </c>
      <c r="M651" s="75">
        <v>0</v>
      </c>
      <c r="N651" s="78">
        <v>42289</v>
      </c>
      <c r="O651" s="81">
        <v>63003</v>
      </c>
    </row>
    <row r="652" spans="1:15" x14ac:dyDescent="0.25">
      <c r="B652" s="5" t="s">
        <v>726</v>
      </c>
      <c r="C652" s="5" t="s">
        <v>1581</v>
      </c>
      <c r="D652" s="6">
        <v>568992</v>
      </c>
      <c r="E652" s="6">
        <v>145502900</v>
      </c>
      <c r="F652" s="1">
        <v>3.9105199965086606E-3</v>
      </c>
      <c r="H652" s="32">
        <f t="shared" si="10"/>
        <v>0</v>
      </c>
      <c r="I652" s="9" t="s">
        <v>939</v>
      </c>
      <c r="J652" s="9">
        <v>0</v>
      </c>
      <c r="K652" s="9">
        <v>0</v>
      </c>
      <c r="L652" s="9" t="s">
        <v>940</v>
      </c>
      <c r="M652" s="75">
        <v>0</v>
      </c>
      <c r="N652" s="78">
        <v>1684761</v>
      </c>
      <c r="O652" s="81">
        <v>568992</v>
      </c>
    </row>
    <row r="653" spans="1:15" x14ac:dyDescent="0.25">
      <c r="B653" s="5" t="s">
        <v>727</v>
      </c>
      <c r="C653" s="5" t="s">
        <v>1950</v>
      </c>
      <c r="D653" s="6">
        <v>1581072</v>
      </c>
      <c r="E653" s="6">
        <v>353313262</v>
      </c>
      <c r="F653" s="1">
        <v>4.4749862800225141E-3</v>
      </c>
      <c r="H653" s="32">
        <f t="shared" si="10"/>
        <v>2.7172090698367275E-3</v>
      </c>
      <c r="I653" s="9" t="s">
        <v>939</v>
      </c>
      <c r="J653" s="9">
        <v>0</v>
      </c>
      <c r="K653" s="9">
        <v>0</v>
      </c>
      <c r="L653" s="9" t="s">
        <v>940</v>
      </c>
      <c r="M653" s="75">
        <v>960026</v>
      </c>
      <c r="N653" s="78">
        <v>3734135</v>
      </c>
      <c r="O653" s="81">
        <v>1581072</v>
      </c>
    </row>
    <row r="654" spans="1:15" x14ac:dyDescent="0.25">
      <c r="B654" s="5" t="s">
        <v>728</v>
      </c>
      <c r="C654" s="5" t="s">
        <v>1464</v>
      </c>
      <c r="D654" s="6">
        <v>20368132</v>
      </c>
      <c r="E654" s="6">
        <v>3861992678</v>
      </c>
      <c r="F654" s="1">
        <v>6.2109118271093727E-3</v>
      </c>
      <c r="H654" s="32">
        <f t="shared" si="10"/>
        <v>1.1046111051171703E-2</v>
      </c>
      <c r="I654" s="9" t="s">
        <v>941</v>
      </c>
      <c r="J654" s="9">
        <v>2</v>
      </c>
      <c r="K654" s="9">
        <v>2</v>
      </c>
      <c r="L654" s="9" t="s">
        <v>938</v>
      </c>
      <c r="M654" s="75">
        <v>42660000</v>
      </c>
      <c r="N654" s="78">
        <v>37663057</v>
      </c>
      <c r="O654" s="81">
        <v>20368132</v>
      </c>
    </row>
    <row r="655" spans="1:15" x14ac:dyDescent="0.25">
      <c r="B655" s="5" t="s">
        <v>729</v>
      </c>
      <c r="C655" s="5" t="s">
        <v>1820</v>
      </c>
      <c r="D655" s="6">
        <v>688502</v>
      </c>
      <c r="E655" s="6">
        <v>108675100</v>
      </c>
      <c r="F655" s="1">
        <v>6.3354163005141014E-3</v>
      </c>
      <c r="H655" s="32">
        <f t="shared" si="10"/>
        <v>3.0632592010497346E-2</v>
      </c>
      <c r="I655" s="9" t="s">
        <v>942</v>
      </c>
      <c r="J655" s="9">
        <v>2</v>
      </c>
      <c r="K655" s="9">
        <v>4</v>
      </c>
      <c r="L655" s="9" t="s">
        <v>938</v>
      </c>
      <c r="M655" s="75">
        <v>3329000</v>
      </c>
      <c r="N655" s="78">
        <v>1197863</v>
      </c>
      <c r="O655" s="81">
        <v>688502</v>
      </c>
    </row>
    <row r="656" spans="1:15" x14ac:dyDescent="0.25">
      <c r="B656" s="5" t="s">
        <v>730</v>
      </c>
      <c r="C656" s="5" t="s">
        <v>2353</v>
      </c>
      <c r="D656" s="6">
        <v>11000</v>
      </c>
      <c r="E656" s="6">
        <v>4344800</v>
      </c>
      <c r="F656" s="1">
        <v>2.5317621064260727E-3</v>
      </c>
      <c r="H656" s="32">
        <f t="shared" si="10"/>
        <v>0</v>
      </c>
      <c r="I656" s="9" t="s">
        <v>939</v>
      </c>
      <c r="J656" s="9">
        <v>0</v>
      </c>
      <c r="K656" s="9">
        <v>0</v>
      </c>
      <c r="L656" s="9" t="s">
        <v>940</v>
      </c>
      <c r="M656" s="75">
        <v>0</v>
      </c>
      <c r="N656" s="78">
        <v>45470</v>
      </c>
      <c r="O656" s="81">
        <v>11000</v>
      </c>
    </row>
    <row r="657" spans="1:15" x14ac:dyDescent="0.25">
      <c r="B657" s="5" t="s">
        <v>731</v>
      </c>
      <c r="C657" s="5" t="s">
        <v>1879</v>
      </c>
      <c r="D657" s="6">
        <v>37150</v>
      </c>
      <c r="E657" s="6">
        <v>7940813</v>
      </c>
      <c r="F657" s="1">
        <v>5.0375194580202301E-3</v>
      </c>
      <c r="H657" s="32">
        <f t="shared" si="10"/>
        <v>0</v>
      </c>
      <c r="I657" s="9" t="s">
        <v>939</v>
      </c>
      <c r="J657" s="9">
        <v>0</v>
      </c>
      <c r="K657" s="9">
        <v>0</v>
      </c>
      <c r="L657" s="9" t="s">
        <v>940</v>
      </c>
      <c r="M657" s="75">
        <v>0</v>
      </c>
      <c r="N657" s="78">
        <v>96528</v>
      </c>
      <c r="O657" s="81">
        <v>37150</v>
      </c>
    </row>
    <row r="658" spans="1:15" x14ac:dyDescent="0.25">
      <c r="B658" s="5" t="s">
        <v>732</v>
      </c>
      <c r="C658" s="5" t="s">
        <v>1465</v>
      </c>
      <c r="D658" s="6">
        <v>6330407</v>
      </c>
      <c r="E658" s="6">
        <v>1278968683</v>
      </c>
      <c r="F658" s="1">
        <v>6.0994808580469365E-3</v>
      </c>
      <c r="H658" s="32">
        <f t="shared" si="10"/>
        <v>4.2612458556969999E-4</v>
      </c>
      <c r="I658" s="9" t="s">
        <v>941</v>
      </c>
      <c r="J658" s="9">
        <v>2</v>
      </c>
      <c r="K658" s="9">
        <v>2</v>
      </c>
      <c r="L658" s="9" t="s">
        <v>938</v>
      </c>
      <c r="M658" s="75">
        <v>545000</v>
      </c>
      <c r="N658" s="78">
        <v>12512695</v>
      </c>
      <c r="O658" s="81">
        <v>6330407</v>
      </c>
    </row>
    <row r="659" spans="1:15" x14ac:dyDescent="0.25">
      <c r="A659" t="s">
        <v>1193</v>
      </c>
      <c r="B659" s="5" t="s">
        <v>733</v>
      </c>
      <c r="C659" s="5" t="s">
        <v>1194</v>
      </c>
      <c r="D659" s="6">
        <v>79524841</v>
      </c>
      <c r="E659" s="6">
        <v>13565503895</v>
      </c>
      <c r="F659" s="1">
        <v>6.0097967337615068E-3</v>
      </c>
      <c r="H659" s="32">
        <f t="shared" si="10"/>
        <v>1.2133718089209248E-3</v>
      </c>
      <c r="I659" s="9" t="s">
        <v>944</v>
      </c>
      <c r="J659" s="9">
        <v>1</v>
      </c>
      <c r="K659" s="9">
        <v>1</v>
      </c>
      <c r="L659" s="9" t="s">
        <v>938</v>
      </c>
      <c r="M659" s="75">
        <v>16460000</v>
      </c>
      <c r="N659" s="78">
        <v>165161423</v>
      </c>
      <c r="O659" s="81">
        <v>79524841</v>
      </c>
    </row>
    <row r="660" spans="1:15" x14ac:dyDescent="0.25">
      <c r="B660" s="5" t="s">
        <v>734</v>
      </c>
      <c r="C660" s="5" t="s">
        <v>2354</v>
      </c>
      <c r="D660" s="6">
        <v>209994</v>
      </c>
      <c r="E660" s="6">
        <v>153178000</v>
      </c>
      <c r="F660" s="1">
        <v>1.3709148833383384E-3</v>
      </c>
      <c r="H660" s="32">
        <f t="shared" si="10"/>
        <v>0</v>
      </c>
      <c r="I660" s="9" t="s">
        <v>939</v>
      </c>
      <c r="J660" s="9">
        <v>0</v>
      </c>
      <c r="K660" s="9">
        <v>0</v>
      </c>
      <c r="L660" s="9" t="s">
        <v>940</v>
      </c>
      <c r="M660" s="75">
        <v>0</v>
      </c>
      <c r="N660" s="78">
        <v>1487952</v>
      </c>
      <c r="O660" s="81">
        <v>209994</v>
      </c>
    </row>
    <row r="661" spans="1:15" x14ac:dyDescent="0.25">
      <c r="B661" s="5" t="s">
        <v>735</v>
      </c>
      <c r="C661" s="5" t="s">
        <v>1842</v>
      </c>
      <c r="D661" s="6">
        <v>1686032</v>
      </c>
      <c r="E661" s="6">
        <v>347494965</v>
      </c>
      <c r="F661" s="1">
        <v>4.9931514835042283E-3</v>
      </c>
      <c r="H661" s="32">
        <f t="shared" si="10"/>
        <v>9.9282014057383529E-4</v>
      </c>
      <c r="I661" s="9" t="s">
        <v>943</v>
      </c>
      <c r="J661" s="9">
        <v>2</v>
      </c>
      <c r="K661" s="9">
        <v>3</v>
      </c>
      <c r="L661" s="9" t="s">
        <v>938</v>
      </c>
      <c r="M661" s="75">
        <v>345000</v>
      </c>
      <c r="N661" s="78">
        <v>3802091</v>
      </c>
      <c r="O661" s="81">
        <v>1686032</v>
      </c>
    </row>
    <row r="662" spans="1:15" x14ac:dyDescent="0.25">
      <c r="B662" s="5" t="s">
        <v>736</v>
      </c>
      <c r="C662" s="5" t="s">
        <v>1671</v>
      </c>
      <c r="D662" s="6">
        <v>1635451</v>
      </c>
      <c r="E662" s="6">
        <v>332054700</v>
      </c>
      <c r="F662" s="1">
        <v>4.9252457501730885E-3</v>
      </c>
      <c r="H662" s="32">
        <f t="shared" si="10"/>
        <v>1.1293320046365855E-2</v>
      </c>
      <c r="I662" s="9" t="s">
        <v>941</v>
      </c>
      <c r="J662" s="9">
        <v>2</v>
      </c>
      <c r="K662" s="9">
        <v>2</v>
      </c>
      <c r="L662" s="9" t="s">
        <v>938</v>
      </c>
      <c r="M662" s="75">
        <v>3750000</v>
      </c>
      <c r="N662" s="78">
        <v>3464879</v>
      </c>
      <c r="O662" s="81">
        <v>1635451</v>
      </c>
    </row>
    <row r="663" spans="1:15" x14ac:dyDescent="0.25">
      <c r="A663" t="s">
        <v>1195</v>
      </c>
      <c r="B663" s="5" t="s">
        <v>737</v>
      </c>
      <c r="C663" s="5" t="s">
        <v>1196</v>
      </c>
      <c r="D663" s="6">
        <v>8117894</v>
      </c>
      <c r="E663" s="6">
        <v>2260139162</v>
      </c>
      <c r="F663" s="1">
        <v>3.855646655088577E-3</v>
      </c>
      <c r="H663" s="32">
        <f t="shared" si="10"/>
        <v>0</v>
      </c>
      <c r="I663" s="9" t="s">
        <v>941</v>
      </c>
      <c r="J663" s="9">
        <v>2</v>
      </c>
      <c r="K663" s="9">
        <v>2</v>
      </c>
      <c r="L663" s="9" t="s">
        <v>938</v>
      </c>
      <c r="M663" s="75">
        <v>0</v>
      </c>
      <c r="N663" s="78">
        <v>24308031</v>
      </c>
      <c r="O663" s="81">
        <v>8117894</v>
      </c>
    </row>
    <row r="664" spans="1:15" x14ac:dyDescent="0.25">
      <c r="B664" s="5" t="s">
        <v>738</v>
      </c>
      <c r="C664" s="5" t="s">
        <v>1516</v>
      </c>
      <c r="D664" s="6">
        <v>194999</v>
      </c>
      <c r="E664" s="6">
        <v>41793400</v>
      </c>
      <c r="F664" s="1">
        <v>4.6657845497135916E-3</v>
      </c>
      <c r="H664" s="32">
        <f t="shared" si="10"/>
        <v>0</v>
      </c>
      <c r="I664" s="9" t="s">
        <v>946</v>
      </c>
      <c r="J664" s="9">
        <v>3</v>
      </c>
      <c r="K664" s="9">
        <v>6</v>
      </c>
      <c r="L664" s="9" t="s">
        <v>938</v>
      </c>
      <c r="M664" s="75">
        <v>0</v>
      </c>
      <c r="N664" s="78">
        <v>435089</v>
      </c>
      <c r="O664" s="81">
        <v>194999</v>
      </c>
    </row>
    <row r="665" spans="1:15" x14ac:dyDescent="0.25">
      <c r="B665" s="5" t="s">
        <v>739</v>
      </c>
      <c r="C665" s="5" t="s">
        <v>2355</v>
      </c>
      <c r="D665" s="6">
        <v>15122</v>
      </c>
      <c r="E665" s="6">
        <v>5595520</v>
      </c>
      <c r="F665" s="1">
        <v>2.7025191581836897E-3</v>
      </c>
      <c r="H665" s="32">
        <f t="shared" si="10"/>
        <v>0</v>
      </c>
      <c r="I665" s="9" t="s">
        <v>939</v>
      </c>
      <c r="J665" s="9">
        <v>0</v>
      </c>
      <c r="K665" s="9">
        <v>0</v>
      </c>
      <c r="L665" s="9" t="s">
        <v>940</v>
      </c>
      <c r="M665" s="75">
        <v>0</v>
      </c>
      <c r="N665" s="78">
        <v>65954</v>
      </c>
      <c r="O665" s="81">
        <v>15122</v>
      </c>
    </row>
    <row r="666" spans="1:15" x14ac:dyDescent="0.25">
      <c r="B666" s="5" t="s">
        <v>740</v>
      </c>
      <c r="C666" s="5" t="s">
        <v>1672</v>
      </c>
      <c r="D666" s="6">
        <v>27999</v>
      </c>
      <c r="E666" s="6">
        <v>6463400</v>
      </c>
      <c r="F666" s="1">
        <v>4.3319305628616517E-3</v>
      </c>
      <c r="H666" s="32">
        <f t="shared" si="10"/>
        <v>0</v>
      </c>
      <c r="I666" s="9" t="s">
        <v>939</v>
      </c>
      <c r="J666" s="9">
        <v>0</v>
      </c>
      <c r="K666" s="9">
        <v>0</v>
      </c>
      <c r="L666" s="9" t="s">
        <v>940</v>
      </c>
      <c r="M666" s="75">
        <v>0</v>
      </c>
      <c r="N666" s="78">
        <v>68254</v>
      </c>
      <c r="O666" s="81">
        <v>27999</v>
      </c>
    </row>
    <row r="667" spans="1:15" x14ac:dyDescent="0.25">
      <c r="B667" s="5" t="s">
        <v>741</v>
      </c>
      <c r="C667" s="5" t="s">
        <v>1720</v>
      </c>
      <c r="D667" s="6">
        <v>162007</v>
      </c>
      <c r="E667" s="6">
        <v>16962400</v>
      </c>
      <c r="F667" s="1">
        <v>9.5509479790595667E-3</v>
      </c>
      <c r="H667" s="32">
        <f t="shared" si="10"/>
        <v>1.9690609819365185E-2</v>
      </c>
      <c r="I667" s="9" t="s">
        <v>939</v>
      </c>
      <c r="J667" s="9">
        <v>0</v>
      </c>
      <c r="K667" s="9">
        <v>0</v>
      </c>
      <c r="L667" s="9" t="s">
        <v>940</v>
      </c>
      <c r="M667" s="75">
        <v>334000</v>
      </c>
      <c r="N667" s="78">
        <v>181719</v>
      </c>
      <c r="O667" s="81">
        <v>162007</v>
      </c>
    </row>
    <row r="668" spans="1:15" x14ac:dyDescent="0.25">
      <c r="B668" s="5" t="s">
        <v>742</v>
      </c>
      <c r="C668" s="5" t="s">
        <v>1631</v>
      </c>
      <c r="D668" s="6">
        <v>1049244</v>
      </c>
      <c r="E668" s="6">
        <v>160411000</v>
      </c>
      <c r="F668" s="1">
        <v>6.5409728759249679E-3</v>
      </c>
      <c r="H668" s="32">
        <f t="shared" si="10"/>
        <v>0</v>
      </c>
      <c r="I668" s="9" t="s">
        <v>939</v>
      </c>
      <c r="J668" s="9">
        <v>0</v>
      </c>
      <c r="K668" s="9">
        <v>0</v>
      </c>
      <c r="L668" s="9" t="s">
        <v>940</v>
      </c>
      <c r="M668" s="75">
        <v>0</v>
      </c>
      <c r="N668" s="78">
        <v>1944476</v>
      </c>
      <c r="O668" s="81">
        <v>1049244</v>
      </c>
    </row>
    <row r="669" spans="1:15" x14ac:dyDescent="0.25">
      <c r="B669" s="5" t="s">
        <v>743</v>
      </c>
      <c r="C669" s="5" t="s">
        <v>1585</v>
      </c>
      <c r="D669" s="6">
        <v>11969535</v>
      </c>
      <c r="E669" s="6">
        <v>3229903218</v>
      </c>
      <c r="F669" s="1">
        <v>4.1582239756138726E-3</v>
      </c>
      <c r="H669" s="32">
        <f t="shared" si="10"/>
        <v>1.996963860729526E-4</v>
      </c>
      <c r="I669" s="9" t="s">
        <v>941</v>
      </c>
      <c r="J669" s="9">
        <v>2</v>
      </c>
      <c r="K669" s="9">
        <v>2</v>
      </c>
      <c r="L669" s="9" t="s">
        <v>938</v>
      </c>
      <c r="M669" s="75">
        <v>645000</v>
      </c>
      <c r="N669" s="78">
        <v>32388655</v>
      </c>
      <c r="O669" s="81">
        <v>11969535</v>
      </c>
    </row>
    <row r="670" spans="1:15" x14ac:dyDescent="0.25">
      <c r="B670" s="5" t="s">
        <v>744</v>
      </c>
      <c r="C670" s="5" t="s">
        <v>1969</v>
      </c>
      <c r="D670" s="6">
        <v>22115760</v>
      </c>
      <c r="E670" s="6">
        <v>5361576900</v>
      </c>
      <c r="F670" s="1">
        <v>4.5047724672194851E-3</v>
      </c>
      <c r="H670" s="32">
        <f t="shared" si="10"/>
        <v>2.5552184097182304E-3</v>
      </c>
      <c r="I670" s="9" t="s">
        <v>944</v>
      </c>
      <c r="J670" s="9">
        <v>1</v>
      </c>
      <c r="K670" s="9">
        <v>1</v>
      </c>
      <c r="L670" s="9" t="s">
        <v>938</v>
      </c>
      <c r="M670" s="75">
        <v>13700000</v>
      </c>
      <c r="N670" s="78">
        <v>59657869</v>
      </c>
      <c r="O670" s="81">
        <v>22115760</v>
      </c>
    </row>
    <row r="671" spans="1:15" x14ac:dyDescent="0.25">
      <c r="B671" s="5" t="s">
        <v>745</v>
      </c>
      <c r="C671" s="5" t="s">
        <v>1566</v>
      </c>
      <c r="D671" s="6">
        <v>370961</v>
      </c>
      <c r="E671" s="6">
        <v>23693309</v>
      </c>
      <c r="F671" s="1">
        <v>1.5656783102773866E-2</v>
      </c>
      <c r="H671" s="32">
        <f t="shared" si="10"/>
        <v>7.5759785178169919E-2</v>
      </c>
      <c r="I671" s="9" t="s">
        <v>939</v>
      </c>
      <c r="J671" s="9">
        <v>0</v>
      </c>
      <c r="K671" s="9">
        <v>0</v>
      </c>
      <c r="L671" s="9" t="s">
        <v>940</v>
      </c>
      <c r="M671" s="75">
        <v>1795000</v>
      </c>
      <c r="N671" s="78">
        <v>277932</v>
      </c>
      <c r="O671" s="81">
        <v>370961</v>
      </c>
    </row>
    <row r="672" spans="1:15" x14ac:dyDescent="0.25">
      <c r="B672" s="5" t="s">
        <v>746</v>
      </c>
      <c r="C672" s="5" t="s">
        <v>1996</v>
      </c>
      <c r="D672" s="6">
        <v>128732</v>
      </c>
      <c r="E672" s="6">
        <v>13528608</v>
      </c>
      <c r="F672" s="1">
        <v>9.5155392188168951E-3</v>
      </c>
      <c r="H672" s="32">
        <f t="shared" si="10"/>
        <v>0</v>
      </c>
      <c r="I672" s="9" t="s">
        <v>939</v>
      </c>
      <c r="J672" s="9">
        <v>0</v>
      </c>
      <c r="K672" s="9">
        <v>0</v>
      </c>
      <c r="L672" s="9" t="s">
        <v>940</v>
      </c>
      <c r="M672" s="75">
        <v>0</v>
      </c>
      <c r="N672" s="78">
        <v>146489</v>
      </c>
      <c r="O672" s="81">
        <v>128732</v>
      </c>
    </row>
    <row r="673" spans="1:15" x14ac:dyDescent="0.25">
      <c r="B673" s="5" t="s">
        <v>747</v>
      </c>
      <c r="C673" s="5" t="s">
        <v>1825</v>
      </c>
      <c r="D673" s="6">
        <v>362451</v>
      </c>
      <c r="E673" s="6">
        <v>71279800</v>
      </c>
      <c r="F673" s="1">
        <v>5.0849048398003364E-3</v>
      </c>
      <c r="H673" s="32">
        <f t="shared" si="10"/>
        <v>0</v>
      </c>
      <c r="I673" s="9" t="s">
        <v>946</v>
      </c>
      <c r="J673" s="9">
        <v>3</v>
      </c>
      <c r="K673" s="9">
        <v>6</v>
      </c>
      <c r="L673" s="9" t="s">
        <v>938</v>
      </c>
      <c r="M673" s="75">
        <v>0</v>
      </c>
      <c r="N673" s="78">
        <v>790643</v>
      </c>
      <c r="O673" s="81">
        <v>362451</v>
      </c>
    </row>
    <row r="674" spans="1:15" x14ac:dyDescent="0.25">
      <c r="B674" s="5" t="s">
        <v>748</v>
      </c>
      <c r="C674" s="5" t="s">
        <v>1518</v>
      </c>
      <c r="D674" s="6">
        <v>662266</v>
      </c>
      <c r="E674" s="6">
        <v>146693000</v>
      </c>
      <c r="F674" s="1">
        <v>4.5146394170137638E-3</v>
      </c>
      <c r="H674" s="32">
        <f t="shared" si="10"/>
        <v>8.8279604343765548E-3</v>
      </c>
      <c r="I674" s="9" t="s">
        <v>937</v>
      </c>
      <c r="J674" s="9">
        <v>3</v>
      </c>
      <c r="K674" s="9">
        <v>5</v>
      </c>
      <c r="L674" s="9" t="s">
        <v>938</v>
      </c>
      <c r="M674" s="75">
        <v>1295000</v>
      </c>
      <c r="N674" s="78">
        <v>1719132</v>
      </c>
      <c r="O674" s="81">
        <v>662266</v>
      </c>
    </row>
    <row r="675" spans="1:15" x14ac:dyDescent="0.25">
      <c r="A675" t="s">
        <v>1197</v>
      </c>
      <c r="B675" s="5" t="s">
        <v>749</v>
      </c>
      <c r="C675" s="5" t="s">
        <v>1198</v>
      </c>
      <c r="D675" s="6">
        <v>1016988</v>
      </c>
      <c r="E675" s="6">
        <v>105069200</v>
      </c>
      <c r="F675" s="1">
        <v>9.6792209324902071E-3</v>
      </c>
      <c r="H675" s="32">
        <f t="shared" si="10"/>
        <v>0</v>
      </c>
      <c r="I675" s="9" t="s">
        <v>946</v>
      </c>
      <c r="J675" s="9">
        <v>3</v>
      </c>
      <c r="K675" s="9">
        <v>6</v>
      </c>
      <c r="L675" s="9" t="s">
        <v>938</v>
      </c>
      <c r="M675" s="75">
        <v>0</v>
      </c>
      <c r="N675" s="78">
        <v>1162023</v>
      </c>
      <c r="O675" s="81">
        <v>1016988</v>
      </c>
    </row>
    <row r="676" spans="1:15" x14ac:dyDescent="0.25">
      <c r="B676" s="5" t="s">
        <v>750</v>
      </c>
      <c r="C676" s="5" t="s">
        <v>1547</v>
      </c>
      <c r="D676" s="6">
        <v>475001</v>
      </c>
      <c r="E676" s="6">
        <v>135212200</v>
      </c>
      <c r="F676" s="1">
        <v>3.5130040040765552E-3</v>
      </c>
      <c r="H676" s="32">
        <f t="shared" si="10"/>
        <v>5.1770476332756955E-3</v>
      </c>
      <c r="I676" s="9" t="s">
        <v>939</v>
      </c>
      <c r="J676" s="9">
        <v>0</v>
      </c>
      <c r="K676" s="9">
        <v>0</v>
      </c>
      <c r="L676" s="9" t="s">
        <v>940</v>
      </c>
      <c r="M676" s="75">
        <v>700000</v>
      </c>
      <c r="N676" s="78">
        <v>1264065</v>
      </c>
      <c r="O676" s="81">
        <v>475001</v>
      </c>
    </row>
    <row r="677" spans="1:15" x14ac:dyDescent="0.25">
      <c r="B677" s="5" t="s">
        <v>751</v>
      </c>
      <c r="C677" s="5" t="s">
        <v>1935</v>
      </c>
      <c r="D677" s="6">
        <v>139096</v>
      </c>
      <c r="E677" s="6">
        <v>11041724</v>
      </c>
      <c r="F677" s="1">
        <v>1.259730817397718E-2</v>
      </c>
      <c r="H677" s="32">
        <f t="shared" si="10"/>
        <v>0</v>
      </c>
      <c r="I677" s="9" t="s">
        <v>939</v>
      </c>
      <c r="J677" s="9">
        <v>0</v>
      </c>
      <c r="K677" s="9">
        <v>0</v>
      </c>
      <c r="L677" s="9" t="s">
        <v>940</v>
      </c>
      <c r="M677" s="75">
        <v>0</v>
      </c>
      <c r="N677" s="78">
        <v>119675</v>
      </c>
      <c r="O677" s="81">
        <v>139096</v>
      </c>
    </row>
    <row r="678" spans="1:15" x14ac:dyDescent="0.25">
      <c r="B678" s="5" t="s">
        <v>752</v>
      </c>
      <c r="C678" s="5" t="s">
        <v>1971</v>
      </c>
      <c r="D678" s="6">
        <v>131119</v>
      </c>
      <c r="E678" s="6">
        <v>12981214</v>
      </c>
      <c r="F678" s="1">
        <v>1.010067317278646E-2</v>
      </c>
      <c r="H678" s="32">
        <f t="shared" si="10"/>
        <v>0</v>
      </c>
      <c r="I678" s="9" t="s">
        <v>939</v>
      </c>
      <c r="J678" s="9">
        <v>0</v>
      </c>
      <c r="K678" s="9">
        <v>0</v>
      </c>
      <c r="L678" s="9" t="s">
        <v>940</v>
      </c>
      <c r="M678" s="75">
        <v>0</v>
      </c>
      <c r="N678" s="78">
        <v>137518</v>
      </c>
      <c r="O678" s="81">
        <v>131119</v>
      </c>
    </row>
    <row r="679" spans="1:15" x14ac:dyDescent="0.25">
      <c r="B679" s="5" t="s">
        <v>753</v>
      </c>
      <c r="C679" s="5" t="s">
        <v>1580</v>
      </c>
      <c r="D679" s="6">
        <v>136415</v>
      </c>
      <c r="E679" s="6">
        <v>8966307</v>
      </c>
      <c r="F679" s="1">
        <v>1.5214179037144279E-2</v>
      </c>
      <c r="H679" s="32">
        <f t="shared" si="10"/>
        <v>0</v>
      </c>
      <c r="I679" s="9" t="s">
        <v>939</v>
      </c>
      <c r="J679" s="9">
        <v>0</v>
      </c>
      <c r="K679" s="9">
        <v>0</v>
      </c>
      <c r="L679" s="9" t="s">
        <v>940</v>
      </c>
      <c r="M679" s="75">
        <v>0</v>
      </c>
      <c r="N679" s="78">
        <v>123616</v>
      </c>
      <c r="O679" s="81">
        <v>136415</v>
      </c>
    </row>
    <row r="680" spans="1:15" x14ac:dyDescent="0.25">
      <c r="B680" s="5" t="s">
        <v>754</v>
      </c>
      <c r="C680" s="5" t="s">
        <v>2356</v>
      </c>
      <c r="D680" s="6">
        <v>42159</v>
      </c>
      <c r="E680" s="6">
        <v>14175800</v>
      </c>
      <c r="F680" s="1">
        <v>2.9740120487027188E-3</v>
      </c>
      <c r="H680" s="32">
        <f t="shared" si="10"/>
        <v>9.8965137770002393E-3</v>
      </c>
      <c r="I680" s="9" t="s">
        <v>939</v>
      </c>
      <c r="J680" s="9">
        <v>0</v>
      </c>
      <c r="K680" s="9">
        <v>0</v>
      </c>
      <c r="L680" s="9" t="s">
        <v>940</v>
      </c>
      <c r="M680" s="75">
        <v>140291</v>
      </c>
      <c r="N680" s="78">
        <v>143572</v>
      </c>
      <c r="O680" s="81">
        <v>42159</v>
      </c>
    </row>
    <row r="681" spans="1:15" x14ac:dyDescent="0.25">
      <c r="B681" s="5" t="s">
        <v>755</v>
      </c>
      <c r="C681" s="5" t="s">
        <v>1867</v>
      </c>
      <c r="D681" s="6">
        <v>192299</v>
      </c>
      <c r="E681" s="6">
        <v>41786200</v>
      </c>
      <c r="F681" s="1">
        <v>4.6019738573978971E-3</v>
      </c>
      <c r="H681" s="32">
        <f t="shared" si="10"/>
        <v>0</v>
      </c>
      <c r="I681" s="9" t="s">
        <v>939</v>
      </c>
      <c r="J681" s="9">
        <v>0</v>
      </c>
      <c r="K681" s="9">
        <v>0</v>
      </c>
      <c r="L681" s="9" t="s">
        <v>940</v>
      </c>
      <c r="M681" s="75">
        <v>0</v>
      </c>
      <c r="N681" s="78">
        <v>438309</v>
      </c>
      <c r="O681" s="81">
        <v>192299</v>
      </c>
    </row>
    <row r="682" spans="1:15" x14ac:dyDescent="0.25">
      <c r="A682" t="s">
        <v>1199</v>
      </c>
      <c r="B682" s="5" t="s">
        <v>756</v>
      </c>
      <c r="C682" s="5" t="s">
        <v>1200</v>
      </c>
      <c r="D682" s="6">
        <v>425407</v>
      </c>
      <c r="E682" s="6">
        <v>12440969</v>
      </c>
      <c r="F682" s="1">
        <v>3.4194040673198367E-2</v>
      </c>
      <c r="H682" s="32">
        <f t="shared" si="10"/>
        <v>2.7409440534736481E-2</v>
      </c>
      <c r="I682" s="9" t="s">
        <v>939</v>
      </c>
      <c r="J682" s="9">
        <v>0</v>
      </c>
      <c r="K682" s="9">
        <v>0</v>
      </c>
      <c r="L682" s="9" t="s">
        <v>940</v>
      </c>
      <c r="M682" s="75">
        <v>341000</v>
      </c>
      <c r="N682" s="78">
        <v>141564</v>
      </c>
      <c r="O682" s="81">
        <v>425407</v>
      </c>
    </row>
    <row r="683" spans="1:15" x14ac:dyDescent="0.25">
      <c r="B683" s="5" t="s">
        <v>757</v>
      </c>
      <c r="C683" s="5" t="s">
        <v>2205</v>
      </c>
      <c r="D683" s="6">
        <v>6772606</v>
      </c>
      <c r="E683" s="6">
        <v>1149497524</v>
      </c>
      <c r="F683" s="1">
        <v>6.6708895320769738E-3</v>
      </c>
      <c r="H683" s="32">
        <f t="shared" si="10"/>
        <v>4.1931364786480397E-3</v>
      </c>
      <c r="I683" s="9" t="s">
        <v>943</v>
      </c>
      <c r="J683" s="9">
        <v>2</v>
      </c>
      <c r="K683" s="9">
        <v>3</v>
      </c>
      <c r="L683" s="9" t="s">
        <v>938</v>
      </c>
      <c r="M683" s="75">
        <v>4820000</v>
      </c>
      <c r="N683" s="78">
        <v>10578702</v>
      </c>
      <c r="O683" s="81">
        <v>6772606</v>
      </c>
    </row>
    <row r="684" spans="1:15" x14ac:dyDescent="0.25">
      <c r="B684" s="5" t="s">
        <v>757</v>
      </c>
      <c r="C684" s="5" t="s">
        <v>2205</v>
      </c>
      <c r="D684" s="6">
        <v>2665</v>
      </c>
      <c r="E684" s="6">
        <v>4516500</v>
      </c>
      <c r="F684" s="1">
        <v>5.90058673751799E-4</v>
      </c>
      <c r="H684" s="32">
        <f t="shared" si="10"/>
        <v>0</v>
      </c>
      <c r="I684" s="9" t="s">
        <v>939</v>
      </c>
      <c r="J684" s="9">
        <v>0</v>
      </c>
      <c r="K684" s="9">
        <v>0</v>
      </c>
      <c r="L684" s="9" t="s">
        <v>940</v>
      </c>
      <c r="M684" s="75">
        <v>0</v>
      </c>
      <c r="N684" s="78">
        <v>41180</v>
      </c>
      <c r="O684" s="81">
        <v>2665</v>
      </c>
    </row>
    <row r="685" spans="1:15" x14ac:dyDescent="0.25">
      <c r="B685" s="5" t="s">
        <v>758</v>
      </c>
      <c r="C685" s="5" t="s">
        <v>2013</v>
      </c>
      <c r="D685" s="6">
        <v>1142906</v>
      </c>
      <c r="E685" s="6">
        <v>440586700</v>
      </c>
      <c r="F685" s="1">
        <v>2.5940547002440157E-3</v>
      </c>
      <c r="H685" s="32">
        <f t="shared" si="10"/>
        <v>6.6956174573585625E-4</v>
      </c>
      <c r="I685" s="9" t="s">
        <v>943</v>
      </c>
      <c r="J685" s="9">
        <v>2</v>
      </c>
      <c r="K685" s="9">
        <v>3</v>
      </c>
      <c r="L685" s="9" t="s">
        <v>938</v>
      </c>
      <c r="M685" s="75">
        <v>295000</v>
      </c>
      <c r="N685" s="78">
        <v>4716373</v>
      </c>
      <c r="O685" s="81">
        <v>1142906</v>
      </c>
    </row>
    <row r="686" spans="1:15" x14ac:dyDescent="0.25">
      <c r="B686" s="5" t="s">
        <v>759</v>
      </c>
      <c r="C686" s="5" t="s">
        <v>1591</v>
      </c>
      <c r="D686" s="6">
        <v>624387</v>
      </c>
      <c r="E686" s="6">
        <v>238306772</v>
      </c>
      <c r="F686" s="1">
        <v>3.0516170140561512E-3</v>
      </c>
      <c r="H686" s="32">
        <f t="shared" si="10"/>
        <v>4.8886567100997029E-3</v>
      </c>
      <c r="I686" s="9" t="s">
        <v>937</v>
      </c>
      <c r="J686" s="9">
        <v>3</v>
      </c>
      <c r="K686" s="9">
        <v>5</v>
      </c>
      <c r="L686" s="9" t="s">
        <v>938</v>
      </c>
      <c r="M686" s="75">
        <v>1165000</v>
      </c>
      <c r="N686" s="78">
        <v>2446092</v>
      </c>
      <c r="O686" s="81">
        <v>624387</v>
      </c>
    </row>
    <row r="687" spans="1:15" x14ac:dyDescent="0.25">
      <c r="B687" s="5" t="s">
        <v>760</v>
      </c>
      <c r="C687" s="5" t="s">
        <v>1510</v>
      </c>
      <c r="D687" s="6">
        <v>1305937</v>
      </c>
      <c r="E687" s="6">
        <v>285918200</v>
      </c>
      <c r="F687" s="1">
        <v>4.5675196612177888E-3</v>
      </c>
      <c r="H687" s="32">
        <f t="shared" si="10"/>
        <v>3.5646559050805438E-2</v>
      </c>
      <c r="I687" s="9" t="s">
        <v>937</v>
      </c>
      <c r="J687" s="9">
        <v>3</v>
      </c>
      <c r="K687" s="9">
        <v>5</v>
      </c>
      <c r="L687" s="9" t="s">
        <v>938</v>
      </c>
      <c r="M687" s="75">
        <v>10192000</v>
      </c>
      <c r="N687" s="78">
        <v>3039963</v>
      </c>
      <c r="O687" s="81">
        <v>1305937</v>
      </c>
    </row>
    <row r="688" spans="1:15" x14ac:dyDescent="0.25">
      <c r="B688" s="5" t="s">
        <v>761</v>
      </c>
      <c r="C688" s="5" t="s">
        <v>1821</v>
      </c>
      <c r="D688" s="6">
        <v>27012242</v>
      </c>
      <c r="E688" s="6">
        <v>4257915002</v>
      </c>
      <c r="F688" s="1">
        <v>6.8826714451168374E-3</v>
      </c>
      <c r="H688" s="32">
        <f t="shared" si="10"/>
        <v>0</v>
      </c>
      <c r="I688" s="9" t="s">
        <v>941</v>
      </c>
      <c r="J688" s="9">
        <v>2</v>
      </c>
      <c r="K688" s="9">
        <v>2</v>
      </c>
      <c r="L688" s="9" t="s">
        <v>938</v>
      </c>
      <c r="M688" s="75">
        <v>0</v>
      </c>
      <c r="N688" s="78">
        <v>423317</v>
      </c>
      <c r="O688" s="81">
        <v>27012242</v>
      </c>
    </row>
    <row r="689" spans="1:15" x14ac:dyDescent="0.25">
      <c r="B689" s="5" t="s">
        <v>762</v>
      </c>
      <c r="C689" s="5" t="s">
        <v>1710</v>
      </c>
      <c r="D689" s="6">
        <v>50505</v>
      </c>
      <c r="E689" s="6">
        <v>12801700</v>
      </c>
      <c r="F689" s="1">
        <v>3.9451791558933582E-3</v>
      </c>
      <c r="H689" s="32">
        <f t="shared" si="10"/>
        <v>1.1541435903044126</v>
      </c>
      <c r="I689" s="9" t="s">
        <v>939</v>
      </c>
      <c r="J689" s="9">
        <v>0</v>
      </c>
      <c r="K689" s="9">
        <v>0</v>
      </c>
      <c r="L689" s="9" t="s">
        <v>940</v>
      </c>
      <c r="M689" s="75">
        <v>14775000</v>
      </c>
      <c r="N689" s="78">
        <v>54100669</v>
      </c>
      <c r="O689" s="81">
        <v>50505</v>
      </c>
    </row>
    <row r="690" spans="1:15" x14ac:dyDescent="0.25">
      <c r="A690" t="s">
        <v>1201</v>
      </c>
      <c r="B690" s="5" t="s">
        <v>763</v>
      </c>
      <c r="C690" s="5" t="s">
        <v>1202</v>
      </c>
      <c r="D690" s="6">
        <v>1292297</v>
      </c>
      <c r="E690" s="6">
        <v>136466000</v>
      </c>
      <c r="F690" s="1">
        <v>9.4697360514706952E-3</v>
      </c>
      <c r="H690" s="32">
        <f t="shared" si="10"/>
        <v>0</v>
      </c>
      <c r="I690" s="9" t="s">
        <v>946</v>
      </c>
      <c r="J690" s="9">
        <v>3</v>
      </c>
      <c r="K690" s="9">
        <v>6</v>
      </c>
      <c r="L690" s="9" t="s">
        <v>938</v>
      </c>
      <c r="M690" s="75">
        <v>0</v>
      </c>
      <c r="N690" s="78">
        <v>6518472</v>
      </c>
      <c r="O690" s="81">
        <v>1292297</v>
      </c>
    </row>
    <row r="691" spans="1:15" x14ac:dyDescent="0.25">
      <c r="B691" s="5" t="s">
        <v>764</v>
      </c>
      <c r="C691" s="5" t="s">
        <v>1822</v>
      </c>
      <c r="D691" s="6">
        <v>2957865</v>
      </c>
      <c r="E691" s="6">
        <v>466749600</v>
      </c>
      <c r="F691" s="1">
        <v>6.337155939715856E-3</v>
      </c>
      <c r="H691" s="32">
        <f t="shared" si="10"/>
        <v>0</v>
      </c>
      <c r="I691" s="9" t="s">
        <v>942</v>
      </c>
      <c r="J691" s="9">
        <v>2</v>
      </c>
      <c r="K691" s="9">
        <v>4</v>
      </c>
      <c r="L691" s="9" t="s">
        <v>938</v>
      </c>
      <c r="M691" s="75">
        <v>0</v>
      </c>
      <c r="N691" s="78">
        <v>159012</v>
      </c>
      <c r="O691" s="81">
        <v>2957865</v>
      </c>
    </row>
    <row r="692" spans="1:15" x14ac:dyDescent="0.25">
      <c r="B692" s="5" t="s">
        <v>765</v>
      </c>
      <c r="C692" s="5" t="s">
        <v>2025</v>
      </c>
      <c r="D692" s="6">
        <v>13127</v>
      </c>
      <c r="E692" s="6">
        <v>2202304</v>
      </c>
      <c r="F692" s="1">
        <v>5.9605758333091162E-3</v>
      </c>
      <c r="H692" s="32">
        <f t="shared" si="10"/>
        <v>0.61547270494899886</v>
      </c>
      <c r="I692" s="9" t="s">
        <v>939</v>
      </c>
      <c r="J692" s="9">
        <v>0</v>
      </c>
      <c r="K692" s="9">
        <v>0</v>
      </c>
      <c r="L692" s="9" t="s">
        <v>940</v>
      </c>
      <c r="M692" s="75">
        <v>1355458</v>
      </c>
      <c r="N692" s="78">
        <v>1497219</v>
      </c>
      <c r="O692" s="81">
        <v>13127</v>
      </c>
    </row>
    <row r="693" spans="1:15" x14ac:dyDescent="0.25">
      <c r="B693" s="5" t="s">
        <v>766</v>
      </c>
      <c r="C693" s="5" t="s">
        <v>1467</v>
      </c>
      <c r="D693" s="6">
        <v>33783495</v>
      </c>
      <c r="E693" s="6">
        <v>8060720233</v>
      </c>
      <c r="F693" s="1">
        <v>4.5163108193436293E-3</v>
      </c>
      <c r="H693" s="32">
        <f t="shared" si="10"/>
        <v>5.2389859440988239E-4</v>
      </c>
      <c r="I693" s="9" t="s">
        <v>944</v>
      </c>
      <c r="J693" s="9">
        <v>1</v>
      </c>
      <c r="K693" s="9">
        <v>1</v>
      </c>
      <c r="L693" s="9" t="s">
        <v>938</v>
      </c>
      <c r="M693" s="75">
        <v>4223000</v>
      </c>
      <c r="N693" s="78">
        <v>5538243</v>
      </c>
      <c r="O693" s="81">
        <v>33783495</v>
      </c>
    </row>
    <row r="694" spans="1:15" x14ac:dyDescent="0.25">
      <c r="B694" s="5" t="s">
        <v>767</v>
      </c>
      <c r="C694" s="5" t="s">
        <v>1907</v>
      </c>
      <c r="D694" s="6">
        <v>229990</v>
      </c>
      <c r="E694" s="6">
        <v>24986600</v>
      </c>
      <c r="F694" s="1">
        <v>9.2045336300256939E-3</v>
      </c>
      <c r="H694" s="32">
        <f t="shared" si="10"/>
        <v>0</v>
      </c>
      <c r="I694" s="9" t="s">
        <v>939</v>
      </c>
      <c r="J694" s="9">
        <v>0</v>
      </c>
      <c r="K694" s="9">
        <v>0</v>
      </c>
      <c r="L694" s="9" t="s">
        <v>940</v>
      </c>
      <c r="M694" s="75">
        <v>0</v>
      </c>
      <c r="N694" s="78">
        <v>21176</v>
      </c>
      <c r="O694" s="81">
        <v>229990</v>
      </c>
    </row>
    <row r="695" spans="1:15" x14ac:dyDescent="0.25">
      <c r="B695" s="5" t="s">
        <v>768</v>
      </c>
      <c r="C695" s="5" t="s">
        <v>2357</v>
      </c>
      <c r="D695" s="6">
        <v>212455</v>
      </c>
      <c r="E695" s="6">
        <v>80929600</v>
      </c>
      <c r="F695" s="1">
        <v>2.625182874992586E-3</v>
      </c>
      <c r="H695" s="32">
        <f t="shared" si="10"/>
        <v>0.80965431683833855</v>
      </c>
      <c r="I695" s="9" t="s">
        <v>939</v>
      </c>
      <c r="J695" s="9">
        <v>0</v>
      </c>
      <c r="K695" s="9">
        <v>0</v>
      </c>
      <c r="L695" s="9" t="s">
        <v>940</v>
      </c>
      <c r="M695" s="75">
        <v>65525000</v>
      </c>
      <c r="N695" s="78">
        <v>78832224</v>
      </c>
      <c r="O695" s="81">
        <v>212455</v>
      </c>
    </row>
    <row r="696" spans="1:15" x14ac:dyDescent="0.25">
      <c r="A696" t="s">
        <v>1203</v>
      </c>
      <c r="B696" s="5" t="s">
        <v>769</v>
      </c>
      <c r="C696" s="5" t="s">
        <v>1204</v>
      </c>
      <c r="D696" s="6">
        <v>7550057</v>
      </c>
      <c r="E696" s="6">
        <v>2011848099</v>
      </c>
      <c r="F696" s="1">
        <v>3.7527967463114121E-3</v>
      </c>
      <c r="H696" s="32">
        <f t="shared" si="10"/>
        <v>0</v>
      </c>
      <c r="I696" s="9" t="s">
        <v>943</v>
      </c>
      <c r="J696" s="9">
        <v>2</v>
      </c>
      <c r="K696" s="9">
        <v>3</v>
      </c>
      <c r="L696" s="9" t="s">
        <v>938</v>
      </c>
      <c r="M696" s="75">
        <v>0</v>
      </c>
      <c r="N696" s="78">
        <v>306612</v>
      </c>
      <c r="O696" s="81">
        <v>7550057</v>
      </c>
    </row>
    <row r="697" spans="1:15" x14ac:dyDescent="0.25">
      <c r="B697" s="5" t="s">
        <v>770</v>
      </c>
      <c r="C697" s="5" t="s">
        <v>2206</v>
      </c>
      <c r="D697" s="6">
        <v>130839939</v>
      </c>
      <c r="E697" s="6">
        <v>28797202150</v>
      </c>
      <c r="F697" s="1">
        <v>5.7394934806192623E-3</v>
      </c>
      <c r="H697" s="32">
        <f t="shared" si="10"/>
        <v>0</v>
      </c>
      <c r="I697" s="9" t="s">
        <v>944</v>
      </c>
      <c r="J697" s="9">
        <v>1</v>
      </c>
      <c r="K697" s="9">
        <v>1</v>
      </c>
      <c r="L697" s="9" t="s">
        <v>938</v>
      </c>
      <c r="M697" s="75">
        <v>0</v>
      </c>
      <c r="N697" s="78">
        <v>881110</v>
      </c>
      <c r="O697" s="81">
        <v>130839939</v>
      </c>
    </row>
    <row r="698" spans="1:15" x14ac:dyDescent="0.25">
      <c r="B698" s="5" t="s">
        <v>771</v>
      </c>
      <c r="C698" s="5" t="s">
        <v>1525</v>
      </c>
      <c r="D698" s="6">
        <v>1811857</v>
      </c>
      <c r="E698" s="6">
        <v>443745600</v>
      </c>
      <c r="F698" s="1">
        <v>5.2575957936258971E-3</v>
      </c>
      <c r="H698" s="32">
        <f t="shared" si="10"/>
        <v>1.0050803884027244E-2</v>
      </c>
      <c r="I698" s="9" t="s">
        <v>943</v>
      </c>
      <c r="J698" s="9">
        <v>2</v>
      </c>
      <c r="K698" s="9">
        <v>3</v>
      </c>
      <c r="L698" s="9" t="s">
        <v>938</v>
      </c>
      <c r="M698" s="75">
        <v>4460000</v>
      </c>
      <c r="N698" s="78">
        <v>21079600</v>
      </c>
      <c r="O698" s="81">
        <v>1811857</v>
      </c>
    </row>
    <row r="699" spans="1:15" x14ac:dyDescent="0.25">
      <c r="A699" t="s">
        <v>1205</v>
      </c>
      <c r="B699" s="5" t="s">
        <v>772</v>
      </c>
      <c r="C699" s="5" t="s">
        <v>1206</v>
      </c>
      <c r="D699" s="6">
        <v>3330408</v>
      </c>
      <c r="E699" s="6">
        <v>618239600</v>
      </c>
      <c r="F699" s="1">
        <v>5.3869211871902089E-3</v>
      </c>
      <c r="H699" s="32">
        <f t="shared" si="10"/>
        <v>0.4410078034470778</v>
      </c>
      <c r="I699" s="9" t="s">
        <v>942</v>
      </c>
      <c r="J699" s="9">
        <v>2</v>
      </c>
      <c r="K699" s="9">
        <v>4</v>
      </c>
      <c r="L699" s="9" t="s">
        <v>938</v>
      </c>
      <c r="M699" s="75">
        <v>272648488</v>
      </c>
      <c r="N699" s="78">
        <v>290082815</v>
      </c>
      <c r="O699" s="81">
        <v>3330408</v>
      </c>
    </row>
    <row r="700" spans="1:15" x14ac:dyDescent="0.25">
      <c r="B700" s="5" t="s">
        <v>773</v>
      </c>
      <c r="C700" s="5" t="s">
        <v>2358</v>
      </c>
      <c r="D700" s="6">
        <v>21024</v>
      </c>
      <c r="E700" s="6">
        <v>6480000</v>
      </c>
      <c r="F700" s="1">
        <v>3.2444444444444443E-3</v>
      </c>
      <c r="H700" s="32">
        <f t="shared" si="10"/>
        <v>0</v>
      </c>
      <c r="I700" s="9" t="s">
        <v>939</v>
      </c>
      <c r="J700" s="9">
        <v>0</v>
      </c>
      <c r="K700" s="9">
        <v>0</v>
      </c>
      <c r="L700" s="9" t="s">
        <v>940</v>
      </c>
      <c r="M700" s="75">
        <v>0</v>
      </c>
      <c r="N700" s="78">
        <v>4632428</v>
      </c>
      <c r="O700" s="81">
        <v>21024</v>
      </c>
    </row>
    <row r="701" spans="1:15" x14ac:dyDescent="0.25">
      <c r="B701" s="5" t="s">
        <v>774</v>
      </c>
      <c r="C701" s="5" t="s">
        <v>2359</v>
      </c>
      <c r="D701" s="6">
        <v>260554</v>
      </c>
      <c r="E701" s="6">
        <v>69736400</v>
      </c>
      <c r="F701" s="1">
        <v>3.7362697242759877E-3</v>
      </c>
      <c r="H701" s="32">
        <f t="shared" si="10"/>
        <v>2.8894522803012489E-2</v>
      </c>
      <c r="I701" s="9" t="s">
        <v>939</v>
      </c>
      <c r="J701" s="9">
        <v>0</v>
      </c>
      <c r="K701" s="9">
        <v>0</v>
      </c>
      <c r="L701" s="9" t="s">
        <v>940</v>
      </c>
      <c r="M701" s="75">
        <v>2015000</v>
      </c>
      <c r="N701" s="78">
        <v>6441561</v>
      </c>
      <c r="O701" s="81">
        <v>260554</v>
      </c>
    </row>
    <row r="702" spans="1:15" x14ac:dyDescent="0.25">
      <c r="B702" s="5" t="s">
        <v>775</v>
      </c>
      <c r="C702" s="5" t="s">
        <v>2360</v>
      </c>
      <c r="D702" s="6">
        <v>17905</v>
      </c>
      <c r="E702" s="6">
        <v>2105300</v>
      </c>
      <c r="F702" s="1">
        <v>8.5047261672920732E-3</v>
      </c>
      <c r="H702" s="32">
        <f t="shared" si="10"/>
        <v>0</v>
      </c>
      <c r="I702" s="9" t="s">
        <v>939</v>
      </c>
      <c r="J702" s="9">
        <v>0</v>
      </c>
      <c r="K702" s="9">
        <v>0</v>
      </c>
      <c r="L702" s="9" t="s">
        <v>940</v>
      </c>
      <c r="M702" s="75">
        <v>0</v>
      </c>
      <c r="N702" s="78">
        <v>74937</v>
      </c>
      <c r="O702" s="81">
        <v>17905</v>
      </c>
    </row>
    <row r="703" spans="1:15" x14ac:dyDescent="0.25">
      <c r="B703" s="5" t="s">
        <v>776</v>
      </c>
      <c r="C703" s="5" t="s">
        <v>1646</v>
      </c>
      <c r="D703" s="6">
        <v>136508</v>
      </c>
      <c r="E703" s="6">
        <v>16747120</v>
      </c>
      <c r="F703" s="1">
        <v>8.1511328514992428E-3</v>
      </c>
      <c r="H703" s="32">
        <f t="shared" si="10"/>
        <v>5.8099541891381924E-2</v>
      </c>
      <c r="I703" s="9" t="s">
        <v>939</v>
      </c>
      <c r="J703" s="9">
        <v>0</v>
      </c>
      <c r="K703" s="9">
        <v>0</v>
      </c>
      <c r="L703" s="9" t="s">
        <v>940</v>
      </c>
      <c r="M703" s="75">
        <v>973000</v>
      </c>
      <c r="N703" s="78">
        <v>702199</v>
      </c>
      <c r="O703" s="81">
        <v>136508</v>
      </c>
    </row>
    <row r="704" spans="1:15" x14ac:dyDescent="0.25">
      <c r="B704" s="5" t="s">
        <v>777</v>
      </c>
      <c r="C704" s="5" t="s">
        <v>1798</v>
      </c>
      <c r="D704" s="6">
        <v>515839</v>
      </c>
      <c r="E704" s="6">
        <v>57410700</v>
      </c>
      <c r="F704" s="1">
        <v>8.9850672435626104E-3</v>
      </c>
      <c r="H704" s="32">
        <f t="shared" si="10"/>
        <v>0</v>
      </c>
      <c r="I704" s="9" t="s">
        <v>937</v>
      </c>
      <c r="J704" s="9">
        <v>3</v>
      </c>
      <c r="K704" s="9">
        <v>5</v>
      </c>
      <c r="L704" s="9" t="s">
        <v>938</v>
      </c>
      <c r="M704" s="75">
        <v>0</v>
      </c>
      <c r="N704" s="78">
        <v>22037</v>
      </c>
      <c r="O704" s="81">
        <v>515839</v>
      </c>
    </row>
    <row r="705" spans="1:15" x14ac:dyDescent="0.25">
      <c r="B705" s="5" t="s">
        <v>778</v>
      </c>
      <c r="C705" s="5" t="s">
        <v>1553</v>
      </c>
      <c r="D705" s="6">
        <v>25005</v>
      </c>
      <c r="E705" s="6">
        <v>7397700</v>
      </c>
      <c r="F705" s="1">
        <v>3.3801046271138327E-3</v>
      </c>
      <c r="H705" s="32">
        <f t="shared" si="10"/>
        <v>0</v>
      </c>
      <c r="I705" s="9" t="s">
        <v>939</v>
      </c>
      <c r="J705" s="9">
        <v>0</v>
      </c>
      <c r="K705" s="9">
        <v>0</v>
      </c>
      <c r="L705" s="9" t="s">
        <v>940</v>
      </c>
      <c r="M705" s="75">
        <v>0</v>
      </c>
      <c r="N705" s="78">
        <v>202593</v>
      </c>
      <c r="O705" s="81">
        <v>25005</v>
      </c>
    </row>
    <row r="706" spans="1:15" x14ac:dyDescent="0.25">
      <c r="B706" s="5" t="s">
        <v>779</v>
      </c>
      <c r="C706" s="5" t="s">
        <v>1681</v>
      </c>
      <c r="D706" s="6">
        <v>7393044</v>
      </c>
      <c r="E706" s="6">
        <v>1525749900</v>
      </c>
      <c r="F706" s="1">
        <v>4.8455149825013914E-3</v>
      </c>
      <c r="H706" s="32">
        <f t="shared" si="10"/>
        <v>1.0552188140402303E-3</v>
      </c>
      <c r="I706" s="9" t="s">
        <v>943</v>
      </c>
      <c r="J706" s="9">
        <v>2</v>
      </c>
      <c r="K706" s="9">
        <v>3</v>
      </c>
      <c r="L706" s="9" t="s">
        <v>938</v>
      </c>
      <c r="M706" s="75">
        <v>1610000</v>
      </c>
      <c r="N706" s="78">
        <v>682484</v>
      </c>
      <c r="O706" s="81">
        <v>7393044</v>
      </c>
    </row>
    <row r="707" spans="1:15" x14ac:dyDescent="0.25">
      <c r="A707" t="s">
        <v>1207</v>
      </c>
      <c r="B707" s="5" t="s">
        <v>780</v>
      </c>
      <c r="C707" s="5" t="s">
        <v>1208</v>
      </c>
      <c r="D707" s="6">
        <v>1973852</v>
      </c>
      <c r="E707" s="6">
        <v>338104100</v>
      </c>
      <c r="F707" s="1">
        <v>5.8380007814161378E-3</v>
      </c>
      <c r="H707" s="32">
        <f t="shared" si="10"/>
        <v>0</v>
      </c>
      <c r="I707" s="9" t="s">
        <v>942</v>
      </c>
      <c r="J707" s="9">
        <v>2</v>
      </c>
      <c r="K707" s="9">
        <v>4</v>
      </c>
      <c r="L707" s="9" t="s">
        <v>938</v>
      </c>
      <c r="M707" s="75">
        <v>0</v>
      </c>
      <c r="N707" s="78">
        <v>88493</v>
      </c>
      <c r="O707" s="81">
        <v>1973852</v>
      </c>
    </row>
    <row r="708" spans="1:15" x14ac:dyDescent="0.25">
      <c r="B708" s="5" t="s">
        <v>781</v>
      </c>
      <c r="C708" s="5" t="s">
        <v>1582</v>
      </c>
      <c r="D708" s="6">
        <v>4174673</v>
      </c>
      <c r="E708" s="6">
        <v>885073700</v>
      </c>
      <c r="F708" s="1">
        <v>4.7167518365984666E-3</v>
      </c>
      <c r="H708" s="32">
        <f t="shared" si="10"/>
        <v>5.6023583120818073E-2</v>
      </c>
      <c r="I708" s="9" t="s">
        <v>943</v>
      </c>
      <c r="J708" s="9">
        <v>2</v>
      </c>
      <c r="K708" s="9">
        <v>3</v>
      </c>
      <c r="L708" s="9" t="s">
        <v>938</v>
      </c>
      <c r="M708" s="75">
        <v>49585000</v>
      </c>
      <c r="N708" s="78">
        <v>17811534</v>
      </c>
      <c r="O708" s="81">
        <v>4174673</v>
      </c>
    </row>
    <row r="709" spans="1:15" x14ac:dyDescent="0.25">
      <c r="B709" s="5" t="s">
        <v>782</v>
      </c>
      <c r="C709" s="5" t="s">
        <v>1664</v>
      </c>
      <c r="D709" s="6">
        <v>17439213</v>
      </c>
      <c r="E709" s="6">
        <v>3972246200</v>
      </c>
      <c r="F709" s="1">
        <v>4.9826549019041169E-3</v>
      </c>
      <c r="H709" s="32">
        <f t="shared" si="10"/>
        <v>0</v>
      </c>
      <c r="I709" s="9" t="s">
        <v>944</v>
      </c>
      <c r="J709" s="9">
        <v>1</v>
      </c>
      <c r="K709" s="9">
        <v>1</v>
      </c>
      <c r="L709" s="9" t="s">
        <v>938</v>
      </c>
      <c r="M709" s="75">
        <v>0</v>
      </c>
      <c r="N709" s="78">
        <v>4107354</v>
      </c>
      <c r="O709" s="81">
        <v>17439213</v>
      </c>
    </row>
    <row r="710" spans="1:15" x14ac:dyDescent="0.25">
      <c r="B710" s="5" t="s">
        <v>783</v>
      </c>
      <c r="C710" s="5" t="s">
        <v>2361</v>
      </c>
      <c r="D710" s="6">
        <v>2386963</v>
      </c>
      <c r="E710" s="6">
        <v>763808700</v>
      </c>
      <c r="F710" s="1">
        <v>3.2872786078503688E-3</v>
      </c>
      <c r="H710" s="32">
        <f t="shared" ref="H710:H773" si="11">M710/E710</f>
        <v>8.5754456580554794E-4</v>
      </c>
      <c r="I710" s="9" t="s">
        <v>943</v>
      </c>
      <c r="J710" s="9">
        <v>2</v>
      </c>
      <c r="K710" s="9">
        <v>3</v>
      </c>
      <c r="L710" s="9" t="s">
        <v>938</v>
      </c>
      <c r="M710" s="75">
        <v>655000</v>
      </c>
      <c r="N710" s="78">
        <v>10204165</v>
      </c>
      <c r="O710" s="81">
        <v>2386963</v>
      </c>
    </row>
    <row r="711" spans="1:15" x14ac:dyDescent="0.25">
      <c r="B711" s="5" t="s">
        <v>784</v>
      </c>
      <c r="C711" s="5" t="s">
        <v>2037</v>
      </c>
      <c r="D711" s="6">
        <v>320069</v>
      </c>
      <c r="E711" s="6">
        <v>71118957</v>
      </c>
      <c r="F711" s="1">
        <v>4.5004737625721934E-3</v>
      </c>
      <c r="H711" s="32">
        <f t="shared" si="11"/>
        <v>7.9163140708039342E-2</v>
      </c>
      <c r="I711" s="9" t="s">
        <v>939</v>
      </c>
      <c r="J711" s="9">
        <v>0</v>
      </c>
      <c r="K711" s="9">
        <v>0</v>
      </c>
      <c r="L711" s="9" t="s">
        <v>940</v>
      </c>
      <c r="M711" s="75">
        <v>5630000</v>
      </c>
      <c r="N711" s="78">
        <v>41272163</v>
      </c>
      <c r="O711" s="81">
        <v>320069</v>
      </c>
    </row>
    <row r="712" spans="1:15" x14ac:dyDescent="0.25">
      <c r="B712" s="5" t="s">
        <v>785</v>
      </c>
      <c r="C712" s="5" t="s">
        <v>2035</v>
      </c>
      <c r="D712" s="6">
        <v>39999</v>
      </c>
      <c r="E712" s="6">
        <v>4588413</v>
      </c>
      <c r="F712" s="1">
        <v>8.7173931378888517E-3</v>
      </c>
      <c r="H712" s="32">
        <f t="shared" si="11"/>
        <v>0.70721619871620101</v>
      </c>
      <c r="I712" s="9" t="s">
        <v>939</v>
      </c>
      <c r="J712" s="9">
        <v>0</v>
      </c>
      <c r="K712" s="9">
        <v>0</v>
      </c>
      <c r="L712" s="9" t="s">
        <v>940</v>
      </c>
      <c r="M712" s="75">
        <v>3245000</v>
      </c>
      <c r="N712" s="78">
        <v>7745924</v>
      </c>
      <c r="O712" s="81">
        <v>39999</v>
      </c>
    </row>
    <row r="713" spans="1:15" x14ac:dyDescent="0.25">
      <c r="B713" s="5" t="s">
        <v>786</v>
      </c>
      <c r="C713" s="5" t="s">
        <v>1565</v>
      </c>
      <c r="D713" s="6">
        <v>374373</v>
      </c>
      <c r="E713" s="6">
        <v>22478410</v>
      </c>
      <c r="F713" s="1">
        <v>1.665478118781533E-2</v>
      </c>
      <c r="H713" s="32">
        <f t="shared" si="11"/>
        <v>5.7833272015235951E-3</v>
      </c>
      <c r="I713" s="9" t="s">
        <v>939</v>
      </c>
      <c r="J713" s="9">
        <v>0</v>
      </c>
      <c r="K713" s="9">
        <v>0</v>
      </c>
      <c r="L713" s="9" t="s">
        <v>940</v>
      </c>
      <c r="M713" s="75">
        <v>130000</v>
      </c>
      <c r="N713" s="78">
        <v>819386</v>
      </c>
      <c r="O713" s="81">
        <v>374373</v>
      </c>
    </row>
    <row r="714" spans="1:15" x14ac:dyDescent="0.25">
      <c r="B714" s="5" t="s">
        <v>787</v>
      </c>
      <c r="C714" s="5" t="s">
        <v>2362</v>
      </c>
      <c r="D714" s="6">
        <v>16656</v>
      </c>
      <c r="E714" s="6">
        <v>2514359</v>
      </c>
      <c r="F714" s="1">
        <v>6.624352369729223E-3</v>
      </c>
      <c r="H714" s="32">
        <f t="shared" si="11"/>
        <v>0</v>
      </c>
      <c r="I714" s="9" t="s">
        <v>939</v>
      </c>
      <c r="J714" s="9">
        <v>0</v>
      </c>
      <c r="K714" s="9">
        <v>0</v>
      </c>
      <c r="L714" s="9" t="s">
        <v>940</v>
      </c>
      <c r="M714" s="75">
        <v>0</v>
      </c>
      <c r="N714" s="78">
        <v>35849</v>
      </c>
      <c r="O714" s="81">
        <v>16656</v>
      </c>
    </row>
    <row r="715" spans="1:15" x14ac:dyDescent="0.25">
      <c r="B715" s="5" t="s">
        <v>788</v>
      </c>
      <c r="C715" s="5" t="s">
        <v>1750</v>
      </c>
      <c r="D715" s="6">
        <v>474413</v>
      </c>
      <c r="E715" s="6">
        <v>69049200</v>
      </c>
      <c r="F715" s="1">
        <v>6.8706516512863289E-3</v>
      </c>
      <c r="H715" s="32">
        <f t="shared" si="11"/>
        <v>0</v>
      </c>
      <c r="I715" s="9" t="s">
        <v>937</v>
      </c>
      <c r="J715" s="9">
        <v>3</v>
      </c>
      <c r="K715" s="9">
        <v>5</v>
      </c>
      <c r="L715" s="9" t="s">
        <v>938</v>
      </c>
      <c r="M715" s="75">
        <v>0</v>
      </c>
      <c r="N715" s="78">
        <v>240143</v>
      </c>
      <c r="O715" s="81">
        <v>474413</v>
      </c>
    </row>
    <row r="716" spans="1:15" x14ac:dyDescent="0.25">
      <c r="B716" s="5" t="s">
        <v>789</v>
      </c>
      <c r="C716" s="5" t="s">
        <v>1511</v>
      </c>
      <c r="D716" s="6">
        <v>18823905</v>
      </c>
      <c r="E716" s="6">
        <v>5540321100</v>
      </c>
      <c r="F716" s="1">
        <v>3.7936162219911768E-3</v>
      </c>
      <c r="H716" s="32">
        <f t="shared" si="11"/>
        <v>0</v>
      </c>
      <c r="I716" s="9" t="s">
        <v>941</v>
      </c>
      <c r="J716" s="9">
        <v>2</v>
      </c>
      <c r="K716" s="9">
        <v>2</v>
      </c>
      <c r="L716" s="9" t="s">
        <v>938</v>
      </c>
      <c r="M716" s="75">
        <v>0</v>
      </c>
      <c r="N716" s="78">
        <v>28672</v>
      </c>
      <c r="O716" s="81">
        <v>18823905</v>
      </c>
    </row>
    <row r="717" spans="1:15" x14ac:dyDescent="0.25">
      <c r="B717" s="5" t="s">
        <v>790</v>
      </c>
      <c r="C717" s="5" t="s">
        <v>1902</v>
      </c>
      <c r="D717" s="6">
        <v>26494</v>
      </c>
      <c r="E717" s="6">
        <v>3806334</v>
      </c>
      <c r="F717" s="1">
        <v>6.960503203344741E-3</v>
      </c>
      <c r="H717" s="32">
        <f t="shared" si="11"/>
        <v>2.1017598560714851E-2</v>
      </c>
      <c r="I717" s="9" t="s">
        <v>939</v>
      </c>
      <c r="J717" s="9">
        <v>0</v>
      </c>
      <c r="K717" s="9">
        <v>0</v>
      </c>
      <c r="L717" s="9" t="s">
        <v>940</v>
      </c>
      <c r="M717" s="75">
        <v>80000</v>
      </c>
      <c r="N717" s="78">
        <v>756594</v>
      </c>
      <c r="O717" s="81">
        <v>26494</v>
      </c>
    </row>
    <row r="718" spans="1:15" x14ac:dyDescent="0.25">
      <c r="A718" t="s">
        <v>1209</v>
      </c>
      <c r="B718" s="5" t="s">
        <v>791</v>
      </c>
      <c r="C718" s="5" t="s">
        <v>1210</v>
      </c>
      <c r="D718" s="6">
        <v>586317</v>
      </c>
      <c r="E718" s="6">
        <v>33257000</v>
      </c>
      <c r="F718" s="1">
        <v>1.7629882430766457E-2</v>
      </c>
      <c r="H718" s="32">
        <f t="shared" si="11"/>
        <v>0.7520221306792555</v>
      </c>
      <c r="I718" s="9" t="s">
        <v>937</v>
      </c>
      <c r="J718" s="9">
        <v>3</v>
      </c>
      <c r="K718" s="9">
        <v>5</v>
      </c>
      <c r="L718" s="9" t="s">
        <v>938</v>
      </c>
      <c r="M718" s="75">
        <v>25010000</v>
      </c>
      <c r="N718" s="78">
        <v>58632388</v>
      </c>
      <c r="O718" s="81">
        <v>586317</v>
      </c>
    </row>
    <row r="719" spans="1:15" x14ac:dyDescent="0.25">
      <c r="B719" s="5" t="s">
        <v>792</v>
      </c>
      <c r="C719" s="5" t="s">
        <v>2363</v>
      </c>
      <c r="D719" s="6">
        <v>38996</v>
      </c>
      <c r="E719" s="6">
        <v>5381100</v>
      </c>
      <c r="F719" s="1">
        <v>7.2468454405233132E-3</v>
      </c>
      <c r="H719" s="32">
        <f t="shared" si="11"/>
        <v>0</v>
      </c>
      <c r="I719" s="9" t="s">
        <v>939</v>
      </c>
      <c r="J719" s="9">
        <v>0</v>
      </c>
      <c r="K719" s="9">
        <v>0</v>
      </c>
      <c r="L719" s="9" t="s">
        <v>940</v>
      </c>
      <c r="M719" s="75">
        <v>0</v>
      </c>
      <c r="N719" s="78">
        <v>41947</v>
      </c>
      <c r="O719" s="81">
        <v>38996</v>
      </c>
    </row>
    <row r="720" spans="1:15" x14ac:dyDescent="0.25">
      <c r="B720" s="5" t="s">
        <v>793</v>
      </c>
      <c r="C720" s="5" t="s">
        <v>1905</v>
      </c>
      <c r="D720" s="6">
        <v>12298495</v>
      </c>
      <c r="E720" s="6">
        <v>3744727900</v>
      </c>
      <c r="F720" s="1">
        <v>3.5959242859808318E-3</v>
      </c>
      <c r="H720" s="32">
        <f t="shared" si="11"/>
        <v>1.4687315465564268E-4</v>
      </c>
      <c r="I720" s="9" t="s">
        <v>944</v>
      </c>
      <c r="J720" s="9">
        <v>1</v>
      </c>
      <c r="K720" s="9">
        <v>1</v>
      </c>
      <c r="L720" s="9" t="s">
        <v>938</v>
      </c>
      <c r="M720" s="75">
        <v>550000</v>
      </c>
      <c r="N720" s="78">
        <v>372408</v>
      </c>
      <c r="O720" s="81">
        <v>12298495</v>
      </c>
    </row>
    <row r="721" spans="1:15" x14ac:dyDescent="0.25">
      <c r="B721" s="5" t="s">
        <v>794</v>
      </c>
      <c r="C721" s="5" t="s">
        <v>1641</v>
      </c>
      <c r="D721" s="6">
        <v>5799437</v>
      </c>
      <c r="E721" s="6">
        <v>1941343795</v>
      </c>
      <c r="F721" s="1">
        <v>3.0771788157182125E-3</v>
      </c>
      <c r="H721" s="32">
        <f t="shared" si="11"/>
        <v>0</v>
      </c>
      <c r="I721" s="9" t="s">
        <v>941</v>
      </c>
      <c r="J721" s="9">
        <v>2</v>
      </c>
      <c r="K721" s="9">
        <v>2</v>
      </c>
      <c r="L721" s="9" t="s">
        <v>938</v>
      </c>
      <c r="M721" s="75">
        <v>0</v>
      </c>
      <c r="N721" s="78">
        <v>63865</v>
      </c>
      <c r="O721" s="81">
        <v>5799437</v>
      </c>
    </row>
    <row r="722" spans="1:15" x14ac:dyDescent="0.25">
      <c r="B722" s="5" t="s">
        <v>795</v>
      </c>
      <c r="C722" s="5" t="s">
        <v>1793</v>
      </c>
      <c r="D722" s="6">
        <v>1345738</v>
      </c>
      <c r="E722" s="6">
        <v>108311078</v>
      </c>
      <c r="F722" s="1">
        <v>1.4557762964929589E-2</v>
      </c>
      <c r="H722" s="32">
        <f t="shared" si="11"/>
        <v>0.17334330288910982</v>
      </c>
      <c r="I722" s="9" t="s">
        <v>939</v>
      </c>
      <c r="J722" s="9">
        <v>0</v>
      </c>
      <c r="K722" s="9">
        <v>0</v>
      </c>
      <c r="L722" s="9" t="s">
        <v>940</v>
      </c>
      <c r="M722" s="75">
        <v>18775000</v>
      </c>
      <c r="N722" s="78">
        <v>38039383</v>
      </c>
      <c r="O722" s="81">
        <v>1345738</v>
      </c>
    </row>
    <row r="723" spans="1:15" x14ac:dyDescent="0.25">
      <c r="B723" s="5" t="s">
        <v>796</v>
      </c>
      <c r="C723" s="5" t="s">
        <v>1669</v>
      </c>
      <c r="D723" s="6">
        <v>549318</v>
      </c>
      <c r="E723" s="6">
        <v>50543500</v>
      </c>
      <c r="F723" s="1">
        <v>1.0868222422269926E-2</v>
      </c>
      <c r="H723" s="32">
        <f t="shared" si="11"/>
        <v>0.12494188174542721</v>
      </c>
      <c r="I723" s="9" t="s">
        <v>939</v>
      </c>
      <c r="J723" s="9">
        <v>0</v>
      </c>
      <c r="K723" s="9">
        <v>0</v>
      </c>
      <c r="L723" s="9" t="s">
        <v>940</v>
      </c>
      <c r="M723" s="75">
        <v>6315000</v>
      </c>
      <c r="N723" s="78">
        <v>20966904</v>
      </c>
      <c r="O723" s="81">
        <v>549318</v>
      </c>
    </row>
    <row r="724" spans="1:15" x14ac:dyDescent="0.25">
      <c r="B724" s="5" t="s">
        <v>797</v>
      </c>
      <c r="C724" s="5" t="s">
        <v>1866</v>
      </c>
      <c r="D724" s="6">
        <v>50148</v>
      </c>
      <c r="E724" s="6">
        <v>29396400</v>
      </c>
      <c r="F724" s="1">
        <v>1.7059231742662367E-3</v>
      </c>
      <c r="H724" s="32">
        <f t="shared" si="11"/>
        <v>0</v>
      </c>
      <c r="I724" s="9" t="s">
        <v>939</v>
      </c>
      <c r="J724" s="9">
        <v>0</v>
      </c>
      <c r="K724" s="9">
        <v>0</v>
      </c>
      <c r="L724" s="9" t="s">
        <v>940</v>
      </c>
      <c r="M724" s="75">
        <v>0</v>
      </c>
      <c r="N724" s="78">
        <v>1234890</v>
      </c>
      <c r="O724" s="81">
        <v>50148</v>
      </c>
    </row>
    <row r="725" spans="1:15" x14ac:dyDescent="0.25">
      <c r="B725" s="5" t="s">
        <v>798</v>
      </c>
      <c r="C725" s="5" t="s">
        <v>1653</v>
      </c>
      <c r="D725" s="6">
        <v>1072447</v>
      </c>
      <c r="E725" s="6">
        <v>96917384</v>
      </c>
      <c r="F725" s="1">
        <v>1.1065579318566832E-2</v>
      </c>
      <c r="H725" s="32">
        <f t="shared" si="11"/>
        <v>0</v>
      </c>
      <c r="I725" s="9" t="s">
        <v>937</v>
      </c>
      <c r="J725" s="9">
        <v>3</v>
      </c>
      <c r="K725" s="9">
        <v>5</v>
      </c>
      <c r="L725" s="9" t="s">
        <v>938</v>
      </c>
      <c r="M725" s="75">
        <v>0</v>
      </c>
      <c r="N725" s="78">
        <v>546615</v>
      </c>
      <c r="O725" s="81">
        <v>1072447</v>
      </c>
    </row>
    <row r="726" spans="1:15" x14ac:dyDescent="0.25">
      <c r="A726" t="s">
        <v>1211</v>
      </c>
      <c r="B726" s="5" t="s">
        <v>799</v>
      </c>
      <c r="C726" s="5" t="s">
        <v>1212</v>
      </c>
      <c r="D726" s="6">
        <v>1552101</v>
      </c>
      <c r="E726" s="6">
        <v>158403000</v>
      </c>
      <c r="F726" s="1">
        <v>9.7984318478816692E-3</v>
      </c>
      <c r="H726" s="32">
        <f t="shared" si="11"/>
        <v>0</v>
      </c>
      <c r="I726" s="9" t="s">
        <v>942</v>
      </c>
      <c r="J726" s="9">
        <v>2</v>
      </c>
      <c r="K726" s="9">
        <v>4</v>
      </c>
      <c r="L726" s="9" t="s">
        <v>938</v>
      </c>
      <c r="M726" s="75">
        <v>0</v>
      </c>
      <c r="N726" s="78">
        <v>300513</v>
      </c>
      <c r="O726" s="81">
        <v>1552101</v>
      </c>
    </row>
    <row r="727" spans="1:15" x14ac:dyDescent="0.25">
      <c r="B727" s="5" t="s">
        <v>800</v>
      </c>
      <c r="C727" s="5" t="s">
        <v>2364</v>
      </c>
      <c r="D727" s="6">
        <v>55948</v>
      </c>
      <c r="E727" s="6">
        <v>14784700</v>
      </c>
      <c r="F727" s="1">
        <v>3.7841822965633391E-3</v>
      </c>
      <c r="H727" s="32">
        <f t="shared" si="11"/>
        <v>7.6430363822059297E-2</v>
      </c>
      <c r="I727" s="9" t="s">
        <v>939</v>
      </c>
      <c r="J727" s="9">
        <v>0</v>
      </c>
      <c r="K727" s="9">
        <v>0</v>
      </c>
      <c r="L727" s="9" t="s">
        <v>940</v>
      </c>
      <c r="M727" s="75">
        <v>1130000</v>
      </c>
      <c r="N727" s="78">
        <v>1148102</v>
      </c>
      <c r="O727" s="81">
        <v>55948</v>
      </c>
    </row>
    <row r="728" spans="1:15" x14ac:dyDescent="0.25">
      <c r="B728" s="5" t="s">
        <v>801</v>
      </c>
      <c r="C728" s="5" t="s">
        <v>2365</v>
      </c>
      <c r="D728" s="6">
        <v>14113</v>
      </c>
      <c r="E728" s="6">
        <v>4054300</v>
      </c>
      <c r="F728" s="1">
        <v>3.4809954862738326E-3</v>
      </c>
      <c r="H728" s="32">
        <f t="shared" si="11"/>
        <v>0</v>
      </c>
      <c r="I728" s="9" t="s">
        <v>939</v>
      </c>
      <c r="J728" s="9">
        <v>0</v>
      </c>
      <c r="K728" s="9">
        <v>0</v>
      </c>
      <c r="L728" s="9" t="s">
        <v>940</v>
      </c>
      <c r="M728" s="75">
        <v>0</v>
      </c>
      <c r="N728" s="78">
        <v>1744548</v>
      </c>
      <c r="O728" s="81">
        <v>14113</v>
      </c>
    </row>
    <row r="729" spans="1:15" x14ac:dyDescent="0.25">
      <c r="B729" s="5" t="s">
        <v>802</v>
      </c>
      <c r="C729" s="5" t="s">
        <v>1730</v>
      </c>
      <c r="D729" s="6">
        <v>140301</v>
      </c>
      <c r="E729" s="6">
        <v>13078300</v>
      </c>
      <c r="F729" s="1">
        <v>1.0727770428878371E-2</v>
      </c>
      <c r="H729" s="32">
        <f t="shared" si="11"/>
        <v>0</v>
      </c>
      <c r="I729" s="9" t="s">
        <v>939</v>
      </c>
      <c r="J729" s="9">
        <v>0</v>
      </c>
      <c r="K729" s="9">
        <v>0</v>
      </c>
      <c r="L729" s="9" t="s">
        <v>940</v>
      </c>
      <c r="M729" s="75">
        <v>0</v>
      </c>
      <c r="N729" s="78">
        <v>124632</v>
      </c>
      <c r="O729" s="81">
        <v>140301</v>
      </c>
    </row>
    <row r="730" spans="1:15" x14ac:dyDescent="0.25">
      <c r="B730" s="5" t="s">
        <v>803</v>
      </c>
      <c r="C730" s="5" t="s">
        <v>1689</v>
      </c>
      <c r="D730" s="6">
        <v>10809137</v>
      </c>
      <c r="E730" s="6">
        <v>1770606741</v>
      </c>
      <c r="F730" s="1">
        <v>7.6591513439855357E-3</v>
      </c>
      <c r="H730" s="32">
        <f t="shared" si="11"/>
        <v>0</v>
      </c>
      <c r="I730" s="9" t="s">
        <v>939</v>
      </c>
      <c r="J730" s="9">
        <v>0</v>
      </c>
      <c r="K730" s="9">
        <v>0</v>
      </c>
      <c r="L730" s="9" t="s">
        <v>940</v>
      </c>
      <c r="M730" s="75">
        <v>0</v>
      </c>
      <c r="N730" s="78">
        <v>46831</v>
      </c>
      <c r="O730" s="81">
        <v>10809137</v>
      </c>
    </row>
    <row r="731" spans="1:15" x14ac:dyDescent="0.25">
      <c r="B731" s="5" t="s">
        <v>804</v>
      </c>
      <c r="C731" s="5" t="s">
        <v>2009</v>
      </c>
      <c r="D731" s="6">
        <v>1296116</v>
      </c>
      <c r="E731" s="6">
        <v>160000971</v>
      </c>
      <c r="F731" s="1">
        <v>8.1006758390235016E-3</v>
      </c>
      <c r="H731" s="32">
        <f t="shared" si="11"/>
        <v>0</v>
      </c>
      <c r="I731" s="9" t="s">
        <v>942</v>
      </c>
      <c r="J731" s="9">
        <v>2</v>
      </c>
      <c r="K731" s="9">
        <v>4</v>
      </c>
      <c r="L731" s="9" t="s">
        <v>938</v>
      </c>
      <c r="M731" s="75">
        <v>0</v>
      </c>
      <c r="N731" s="78">
        <v>152992</v>
      </c>
      <c r="O731" s="81">
        <v>1296116</v>
      </c>
    </row>
    <row r="732" spans="1:15" x14ac:dyDescent="0.25">
      <c r="B732" s="5" t="s">
        <v>805</v>
      </c>
      <c r="C732" s="5" t="s">
        <v>1738</v>
      </c>
      <c r="D732" s="6">
        <v>629994</v>
      </c>
      <c r="E732" s="6">
        <v>61863000</v>
      </c>
      <c r="F732" s="1">
        <v>1.0183696231996508E-2</v>
      </c>
      <c r="H732" s="32">
        <f t="shared" si="11"/>
        <v>0.35497793511468889</v>
      </c>
      <c r="I732" s="9" t="s">
        <v>939</v>
      </c>
      <c r="J732" s="9">
        <v>0</v>
      </c>
      <c r="K732" s="9">
        <v>0</v>
      </c>
      <c r="L732" s="9" t="s">
        <v>940</v>
      </c>
      <c r="M732" s="75">
        <v>21960000</v>
      </c>
      <c r="N732" s="78">
        <v>17050439</v>
      </c>
      <c r="O732" s="81">
        <v>629994</v>
      </c>
    </row>
    <row r="733" spans="1:15" x14ac:dyDescent="0.25">
      <c r="B733" s="5" t="s">
        <v>806</v>
      </c>
      <c r="C733" s="5" t="s">
        <v>2366</v>
      </c>
      <c r="D733" s="6">
        <v>16547</v>
      </c>
      <c r="E733" s="6">
        <v>5556300</v>
      </c>
      <c r="F733" s="1">
        <v>2.9780609398340624E-3</v>
      </c>
      <c r="H733" s="32">
        <f t="shared" si="11"/>
        <v>0.11608444468441229</v>
      </c>
      <c r="I733" s="9" t="s">
        <v>939</v>
      </c>
      <c r="J733" s="9">
        <v>0</v>
      </c>
      <c r="K733" s="9">
        <v>0</v>
      </c>
      <c r="L733" s="9" t="s">
        <v>940</v>
      </c>
      <c r="M733" s="75">
        <v>645000</v>
      </c>
      <c r="N733" s="78">
        <v>1751009</v>
      </c>
      <c r="O733" s="81">
        <v>16547</v>
      </c>
    </row>
    <row r="734" spans="1:15" x14ac:dyDescent="0.25">
      <c r="B734" s="5" t="s">
        <v>807</v>
      </c>
      <c r="C734" s="5" t="s">
        <v>1843</v>
      </c>
      <c r="D734" s="6">
        <v>2984992</v>
      </c>
      <c r="E734" s="6">
        <v>647918046</v>
      </c>
      <c r="F734" s="1">
        <v>5.6058771976232316E-3</v>
      </c>
      <c r="H734" s="32">
        <f t="shared" si="11"/>
        <v>8.8128429748968596E-4</v>
      </c>
      <c r="I734" s="9" t="s">
        <v>943</v>
      </c>
      <c r="J734" s="9">
        <v>2</v>
      </c>
      <c r="K734" s="9">
        <v>3</v>
      </c>
      <c r="L734" s="9" t="s">
        <v>938</v>
      </c>
      <c r="M734" s="75">
        <v>571000</v>
      </c>
      <c r="N734" s="78">
        <v>681861</v>
      </c>
      <c r="O734" s="81">
        <v>2984992</v>
      </c>
    </row>
    <row r="735" spans="1:15" x14ac:dyDescent="0.25">
      <c r="B735" s="5" t="s">
        <v>808</v>
      </c>
      <c r="C735" s="5" t="s">
        <v>1468</v>
      </c>
      <c r="D735" s="6">
        <v>1088528</v>
      </c>
      <c r="E735" s="6">
        <v>337628560</v>
      </c>
      <c r="F735" s="1">
        <v>3.3887921092931239E-3</v>
      </c>
      <c r="H735" s="32">
        <f t="shared" si="11"/>
        <v>0</v>
      </c>
      <c r="I735" s="9" t="s">
        <v>941</v>
      </c>
      <c r="J735" s="9">
        <v>2</v>
      </c>
      <c r="K735" s="9">
        <v>2</v>
      </c>
      <c r="L735" s="9" t="s">
        <v>938</v>
      </c>
      <c r="M735" s="75">
        <v>0</v>
      </c>
      <c r="N735" s="78">
        <v>49137</v>
      </c>
      <c r="O735" s="81">
        <v>1088528</v>
      </c>
    </row>
    <row r="736" spans="1:15" x14ac:dyDescent="0.25">
      <c r="A736" t="s">
        <v>1213</v>
      </c>
      <c r="B736" s="5" t="s">
        <v>809</v>
      </c>
      <c r="C736" s="5" t="s">
        <v>1214</v>
      </c>
      <c r="D736" s="6">
        <v>1599000</v>
      </c>
      <c r="E736" s="6">
        <v>128954700</v>
      </c>
      <c r="F736" s="1">
        <v>1.2399703151571831E-2</v>
      </c>
      <c r="H736" s="32">
        <f t="shared" si="11"/>
        <v>1.1592838415350507E-2</v>
      </c>
      <c r="I736" s="9" t="s">
        <v>937</v>
      </c>
      <c r="J736" s="9">
        <v>3</v>
      </c>
      <c r="K736" s="9">
        <v>5</v>
      </c>
      <c r="L736" s="9" t="s">
        <v>938</v>
      </c>
      <c r="M736" s="75">
        <v>1494951</v>
      </c>
      <c r="N736" s="78">
        <v>6659854</v>
      </c>
      <c r="O736" s="81">
        <v>1599000</v>
      </c>
    </row>
    <row r="737" spans="1:15" x14ac:dyDescent="0.25">
      <c r="A737" t="s">
        <v>1443</v>
      </c>
      <c r="B737" s="5" t="s">
        <v>810</v>
      </c>
      <c r="C737" s="5" t="s">
        <v>1216</v>
      </c>
      <c r="D737" s="6">
        <v>1249601</v>
      </c>
      <c r="E737" s="6">
        <v>73868500</v>
      </c>
      <c r="F737" s="1">
        <v>1.6916561186432647E-2</v>
      </c>
      <c r="H737" s="32">
        <f t="shared" si="11"/>
        <v>1.8952598198149415E-2</v>
      </c>
      <c r="I737" s="9" t="s">
        <v>937</v>
      </c>
      <c r="J737" s="9">
        <v>3</v>
      </c>
      <c r="K737" s="9">
        <v>5</v>
      </c>
      <c r="L737" s="9" t="s">
        <v>938</v>
      </c>
      <c r="M737" s="75">
        <v>1400000</v>
      </c>
      <c r="N737" s="78">
        <v>3621309</v>
      </c>
      <c r="O737" s="81">
        <v>1249601</v>
      </c>
    </row>
    <row r="738" spans="1:15" x14ac:dyDescent="0.25">
      <c r="B738" s="5" t="s">
        <v>811</v>
      </c>
      <c r="C738" s="5" t="s">
        <v>2367</v>
      </c>
      <c r="D738" s="6">
        <v>19037</v>
      </c>
      <c r="E738" s="6">
        <v>4411549</v>
      </c>
      <c r="F738" s="1">
        <v>5.3273804733892788E-3</v>
      </c>
      <c r="H738" s="32">
        <f t="shared" si="11"/>
        <v>0</v>
      </c>
      <c r="I738" s="9" t="s">
        <v>939</v>
      </c>
      <c r="J738" s="9">
        <v>0</v>
      </c>
      <c r="K738" s="9">
        <v>0</v>
      </c>
      <c r="L738" s="9" t="s">
        <v>940</v>
      </c>
      <c r="M738" s="75">
        <v>0</v>
      </c>
      <c r="N738" s="78">
        <v>1463940</v>
      </c>
      <c r="O738" s="81">
        <v>19037</v>
      </c>
    </row>
    <row r="739" spans="1:15" x14ac:dyDescent="0.25">
      <c r="B739" s="5" t="s">
        <v>812</v>
      </c>
      <c r="C739" s="5" t="s">
        <v>2368</v>
      </c>
      <c r="D739" s="6">
        <v>346419</v>
      </c>
      <c r="E739" s="6">
        <v>40810600</v>
      </c>
      <c r="F739" s="1">
        <v>8.4884564304371895E-3</v>
      </c>
      <c r="H739" s="32">
        <f t="shared" si="11"/>
        <v>8.978672207710741E-3</v>
      </c>
      <c r="I739" s="9" t="s">
        <v>939</v>
      </c>
      <c r="J739" s="9">
        <v>0</v>
      </c>
      <c r="K739" s="9">
        <v>0</v>
      </c>
      <c r="L739" s="9" t="s">
        <v>940</v>
      </c>
      <c r="M739" s="75">
        <v>366425</v>
      </c>
      <c r="N739" s="78">
        <v>823519</v>
      </c>
      <c r="O739" s="81">
        <v>346419</v>
      </c>
    </row>
    <row r="740" spans="1:15" x14ac:dyDescent="0.25">
      <c r="B740" s="5" t="s">
        <v>813</v>
      </c>
      <c r="C740" s="5" t="s">
        <v>2369</v>
      </c>
      <c r="D740" s="6">
        <v>3297792</v>
      </c>
      <c r="E740" s="6">
        <v>644205741</v>
      </c>
      <c r="F740" s="1">
        <v>6.5734356751098871E-3</v>
      </c>
      <c r="H740" s="32">
        <f t="shared" si="11"/>
        <v>0</v>
      </c>
      <c r="I740" s="9" t="s">
        <v>943</v>
      </c>
      <c r="J740" s="9">
        <v>2</v>
      </c>
      <c r="K740" s="9">
        <v>3</v>
      </c>
      <c r="L740" s="9" t="s">
        <v>938</v>
      </c>
      <c r="M740" s="75">
        <v>0</v>
      </c>
      <c r="N740" s="78">
        <v>46280</v>
      </c>
      <c r="O740" s="81">
        <v>3297792</v>
      </c>
    </row>
    <row r="741" spans="1:15" x14ac:dyDescent="0.25">
      <c r="B741" s="5" t="s">
        <v>814</v>
      </c>
      <c r="C741" s="5" t="s">
        <v>1751</v>
      </c>
      <c r="D741" s="6">
        <v>425715</v>
      </c>
      <c r="E741" s="6">
        <v>116179600</v>
      </c>
      <c r="F741" s="1">
        <v>3.6642835747411765E-3</v>
      </c>
      <c r="H741" s="32">
        <f t="shared" si="11"/>
        <v>0</v>
      </c>
      <c r="I741" s="9" t="s">
        <v>942</v>
      </c>
      <c r="J741" s="9">
        <v>2</v>
      </c>
      <c r="K741" s="9">
        <v>4</v>
      </c>
      <c r="L741" s="9" t="s">
        <v>938</v>
      </c>
      <c r="M741" s="75">
        <v>0</v>
      </c>
      <c r="N741" s="78">
        <v>1377973</v>
      </c>
      <c r="O741" s="81">
        <v>425715</v>
      </c>
    </row>
    <row r="742" spans="1:15" x14ac:dyDescent="0.25">
      <c r="A742" t="s">
        <v>1217</v>
      </c>
      <c r="B742" s="5" t="s">
        <v>815</v>
      </c>
      <c r="C742" s="5" t="s">
        <v>1218</v>
      </c>
      <c r="D742" s="6">
        <v>1059095</v>
      </c>
      <c r="E742" s="6">
        <v>127476330</v>
      </c>
      <c r="F742" s="1">
        <v>8.308169838275075E-3</v>
      </c>
      <c r="H742" s="32">
        <f t="shared" si="11"/>
        <v>8.5113840349812387E-3</v>
      </c>
      <c r="I742" s="9" t="s">
        <v>946</v>
      </c>
      <c r="J742" s="9">
        <v>3</v>
      </c>
      <c r="K742" s="9">
        <v>6</v>
      </c>
      <c r="L742" s="9" t="s">
        <v>938</v>
      </c>
      <c r="M742" s="75">
        <v>1085000</v>
      </c>
      <c r="N742" s="78">
        <v>1448920</v>
      </c>
      <c r="O742" s="81">
        <v>1059095</v>
      </c>
    </row>
    <row r="743" spans="1:15" x14ac:dyDescent="0.25">
      <c r="A743" t="s">
        <v>1219</v>
      </c>
      <c r="B743" s="5" t="s">
        <v>816</v>
      </c>
      <c r="C743" s="5" t="s">
        <v>1220</v>
      </c>
      <c r="D743" s="6">
        <v>829412</v>
      </c>
      <c r="E743" s="6">
        <v>84235102</v>
      </c>
      <c r="F743" s="1">
        <v>9.8463939653091418E-3</v>
      </c>
      <c r="H743" s="32">
        <f t="shared" si="11"/>
        <v>3.442745282127159E-3</v>
      </c>
      <c r="I743" s="9" t="s">
        <v>937</v>
      </c>
      <c r="J743" s="9">
        <v>3</v>
      </c>
      <c r="K743" s="9">
        <v>5</v>
      </c>
      <c r="L743" s="9" t="s">
        <v>938</v>
      </c>
      <c r="M743" s="75">
        <v>290000</v>
      </c>
      <c r="N743" s="78">
        <v>949136</v>
      </c>
      <c r="O743" s="81">
        <v>829412</v>
      </c>
    </row>
    <row r="744" spans="1:15" x14ac:dyDescent="0.25">
      <c r="B744" s="5" t="s">
        <v>817</v>
      </c>
      <c r="C744" s="5" t="s">
        <v>1975</v>
      </c>
      <c r="D744" s="6">
        <v>26256</v>
      </c>
      <c r="E744" s="6">
        <v>6313035</v>
      </c>
      <c r="F744" s="1">
        <v>4.159013849915294E-3</v>
      </c>
      <c r="H744" s="32">
        <f t="shared" si="11"/>
        <v>0</v>
      </c>
      <c r="I744" s="9" t="s">
        <v>939</v>
      </c>
      <c r="J744" s="9">
        <v>0</v>
      </c>
      <c r="K744" s="9">
        <v>0</v>
      </c>
      <c r="L744" s="9" t="s">
        <v>940</v>
      </c>
      <c r="M744" s="75">
        <v>0</v>
      </c>
      <c r="N744" s="78">
        <v>59296</v>
      </c>
      <c r="O744" s="81">
        <v>26256</v>
      </c>
    </row>
    <row r="745" spans="1:15" x14ac:dyDescent="0.25">
      <c r="B745" s="5" t="s">
        <v>818</v>
      </c>
      <c r="C745" s="5" t="s">
        <v>1940</v>
      </c>
      <c r="D745" s="6">
        <v>164415</v>
      </c>
      <c r="E745" s="6">
        <v>24079346</v>
      </c>
      <c r="F745" s="1">
        <v>6.8280508947377557E-3</v>
      </c>
      <c r="H745" s="32">
        <f t="shared" si="11"/>
        <v>7.2676392456838323E-2</v>
      </c>
      <c r="I745" s="9" t="s">
        <v>951</v>
      </c>
      <c r="J745" s="9">
        <v>4</v>
      </c>
      <c r="K745" s="9">
        <v>8</v>
      </c>
      <c r="L745" s="9" t="s">
        <v>938</v>
      </c>
      <c r="M745" s="75">
        <v>1750000</v>
      </c>
      <c r="N745" s="78">
        <v>275125</v>
      </c>
      <c r="O745" s="81">
        <v>164415</v>
      </c>
    </row>
    <row r="746" spans="1:15" x14ac:dyDescent="0.25">
      <c r="B746" s="5" t="s">
        <v>819</v>
      </c>
      <c r="C746" s="5" t="s">
        <v>1850</v>
      </c>
      <c r="D746" s="6">
        <v>423041</v>
      </c>
      <c r="E746" s="6">
        <v>25850300</v>
      </c>
      <c r="F746" s="1">
        <v>1.6365032514129428E-2</v>
      </c>
      <c r="H746" s="32">
        <f t="shared" si="11"/>
        <v>3.451700753956434E-2</v>
      </c>
      <c r="I746" s="9" t="s">
        <v>939</v>
      </c>
      <c r="J746" s="9">
        <v>0</v>
      </c>
      <c r="K746" s="9">
        <v>0</v>
      </c>
      <c r="L746" s="9" t="s">
        <v>940</v>
      </c>
      <c r="M746" s="75">
        <v>892275</v>
      </c>
      <c r="N746" s="78">
        <v>314434</v>
      </c>
      <c r="O746" s="81">
        <v>423041</v>
      </c>
    </row>
    <row r="747" spans="1:15" x14ac:dyDescent="0.25">
      <c r="B747" s="5" t="s">
        <v>820</v>
      </c>
      <c r="C747" s="5" t="s">
        <v>1508</v>
      </c>
      <c r="D747" s="6">
        <v>3344742</v>
      </c>
      <c r="E747" s="6">
        <v>438421502</v>
      </c>
      <c r="F747" s="1">
        <v>8.2548323553711112E-3</v>
      </c>
      <c r="H747" s="32">
        <f t="shared" si="11"/>
        <v>4.874304727873497E-3</v>
      </c>
      <c r="I747" s="9" t="s">
        <v>939</v>
      </c>
      <c r="J747" s="9">
        <v>0</v>
      </c>
      <c r="K747" s="9">
        <v>0</v>
      </c>
      <c r="L747" s="9" t="s">
        <v>940</v>
      </c>
      <c r="M747" s="75">
        <v>2137000</v>
      </c>
      <c r="N747" s="78">
        <v>4975077</v>
      </c>
      <c r="O747" s="81">
        <v>3344742</v>
      </c>
    </row>
    <row r="748" spans="1:15" x14ac:dyDescent="0.25">
      <c r="B748" s="5" t="s">
        <v>821</v>
      </c>
      <c r="C748" s="5" t="s">
        <v>1600</v>
      </c>
      <c r="D748" s="6">
        <v>13534250</v>
      </c>
      <c r="E748" s="6">
        <v>2693356600</v>
      </c>
      <c r="F748" s="1">
        <v>5.5670326016243081E-3</v>
      </c>
      <c r="H748" s="32">
        <f t="shared" si="11"/>
        <v>8.2981956418247769E-3</v>
      </c>
      <c r="I748" s="9" t="s">
        <v>939</v>
      </c>
      <c r="J748" s="9">
        <v>0</v>
      </c>
      <c r="K748" s="9">
        <v>0</v>
      </c>
      <c r="L748" s="9" t="s">
        <v>940</v>
      </c>
      <c r="M748" s="75">
        <v>22350000</v>
      </c>
      <c r="N748" s="78">
        <v>25895584</v>
      </c>
      <c r="O748" s="81">
        <v>13534250</v>
      </c>
    </row>
    <row r="749" spans="1:15" x14ac:dyDescent="0.25">
      <c r="B749" s="5" t="s">
        <v>822</v>
      </c>
      <c r="C749" s="5" t="s">
        <v>1913</v>
      </c>
      <c r="D749" s="6">
        <v>99995</v>
      </c>
      <c r="E749" s="6">
        <v>41972300</v>
      </c>
      <c r="F749" s="1">
        <v>2.3824045858816408E-3</v>
      </c>
      <c r="H749" s="32">
        <f t="shared" si="11"/>
        <v>0</v>
      </c>
      <c r="I749" s="9" t="s">
        <v>939</v>
      </c>
      <c r="J749" s="9">
        <v>0</v>
      </c>
      <c r="K749" s="9">
        <v>0</v>
      </c>
      <c r="L749" s="9" t="s">
        <v>940</v>
      </c>
      <c r="M749" s="75">
        <v>0</v>
      </c>
      <c r="N749" s="78">
        <v>438169</v>
      </c>
      <c r="O749" s="81">
        <v>99995</v>
      </c>
    </row>
    <row r="750" spans="1:15" x14ac:dyDescent="0.25">
      <c r="B750" s="5" t="s">
        <v>823</v>
      </c>
      <c r="C750" s="5" t="s">
        <v>2006</v>
      </c>
      <c r="D750" s="6">
        <v>110503</v>
      </c>
      <c r="E750" s="6">
        <v>7311556</v>
      </c>
      <c r="F750" s="1">
        <v>1.511347242638913E-2</v>
      </c>
      <c r="H750" s="32">
        <f t="shared" si="11"/>
        <v>0</v>
      </c>
      <c r="I750" s="9" t="s">
        <v>939</v>
      </c>
      <c r="J750" s="9">
        <v>0</v>
      </c>
      <c r="K750" s="9">
        <v>0</v>
      </c>
      <c r="L750" s="9" t="s">
        <v>940</v>
      </c>
      <c r="M750" s="75">
        <v>0</v>
      </c>
      <c r="N750" s="78">
        <v>99410</v>
      </c>
      <c r="O750" s="81">
        <v>110503</v>
      </c>
    </row>
    <row r="751" spans="1:15" x14ac:dyDescent="0.25">
      <c r="B751" s="5" t="s">
        <v>824</v>
      </c>
      <c r="C751" s="5" t="s">
        <v>1612</v>
      </c>
      <c r="D751" s="6">
        <v>5997</v>
      </c>
      <c r="E751" s="6">
        <v>1541949</v>
      </c>
      <c r="F751" s="1">
        <v>3.8892336906084443E-3</v>
      </c>
      <c r="H751" s="32">
        <f t="shared" si="11"/>
        <v>5.7394894383666385E-2</v>
      </c>
      <c r="I751" s="9" t="s">
        <v>939</v>
      </c>
      <c r="J751" s="9">
        <v>0</v>
      </c>
      <c r="K751" s="9">
        <v>0</v>
      </c>
      <c r="L751" s="9" t="s">
        <v>940</v>
      </c>
      <c r="M751" s="75">
        <v>88500</v>
      </c>
      <c r="N751" s="78">
        <v>20580</v>
      </c>
      <c r="O751" s="81">
        <v>5997</v>
      </c>
    </row>
    <row r="752" spans="1:15" x14ac:dyDescent="0.25">
      <c r="B752" s="5" t="s">
        <v>825</v>
      </c>
      <c r="C752" s="5" t="s">
        <v>2370</v>
      </c>
      <c r="D752" s="6">
        <v>2503</v>
      </c>
      <c r="E752" s="6">
        <v>1138700</v>
      </c>
      <c r="F752" s="1">
        <v>2.1981206639149907E-3</v>
      </c>
      <c r="H752" s="32">
        <f t="shared" si="11"/>
        <v>0</v>
      </c>
      <c r="I752" s="9" t="s">
        <v>939</v>
      </c>
      <c r="J752" s="9">
        <v>0</v>
      </c>
      <c r="K752" s="9">
        <v>0</v>
      </c>
      <c r="L752" s="9" t="s">
        <v>940</v>
      </c>
      <c r="M752" s="75">
        <v>0</v>
      </c>
      <c r="N752" s="78">
        <v>12561</v>
      </c>
      <c r="O752" s="81">
        <v>2503</v>
      </c>
    </row>
    <row r="753" spans="1:15" x14ac:dyDescent="0.25">
      <c r="B753" s="5" t="s">
        <v>826</v>
      </c>
      <c r="C753" s="5" t="s">
        <v>1918</v>
      </c>
      <c r="D753" s="6">
        <v>198010</v>
      </c>
      <c r="E753" s="6">
        <v>26126100</v>
      </c>
      <c r="F753" s="1">
        <v>7.579011027286889E-3</v>
      </c>
      <c r="H753" s="32">
        <f t="shared" si="11"/>
        <v>0</v>
      </c>
      <c r="I753" s="9" t="s">
        <v>939</v>
      </c>
      <c r="J753" s="9">
        <v>0</v>
      </c>
      <c r="K753" s="9">
        <v>0</v>
      </c>
      <c r="L753" s="9" t="s">
        <v>940</v>
      </c>
      <c r="M753" s="75">
        <v>0</v>
      </c>
      <c r="N753" s="78">
        <v>283069</v>
      </c>
      <c r="O753" s="81">
        <v>198010</v>
      </c>
    </row>
    <row r="754" spans="1:15" x14ac:dyDescent="0.25">
      <c r="B754" s="5" t="s">
        <v>827</v>
      </c>
      <c r="C754" s="5" t="s">
        <v>2371</v>
      </c>
      <c r="D754" s="6">
        <v>43929</v>
      </c>
      <c r="E754" s="6">
        <v>3245018</v>
      </c>
      <c r="F754" s="1">
        <v>1.3537367127085273E-2</v>
      </c>
      <c r="H754" s="32">
        <f t="shared" si="11"/>
        <v>0</v>
      </c>
      <c r="I754" s="9" t="s">
        <v>939</v>
      </c>
      <c r="J754" s="9">
        <v>0</v>
      </c>
      <c r="K754" s="9">
        <v>0</v>
      </c>
      <c r="L754" s="9" t="s">
        <v>940</v>
      </c>
      <c r="M754" s="75">
        <v>0</v>
      </c>
      <c r="N754" s="78">
        <v>36117</v>
      </c>
      <c r="O754" s="81">
        <v>43929</v>
      </c>
    </row>
    <row r="755" spans="1:15" x14ac:dyDescent="0.25">
      <c r="B755" s="5" t="s">
        <v>828</v>
      </c>
      <c r="C755" s="5" t="s">
        <v>2372</v>
      </c>
      <c r="D755" s="6">
        <v>670168</v>
      </c>
      <c r="E755" s="6">
        <v>206280444</v>
      </c>
      <c r="F755" s="1">
        <v>3.2488198445025647E-3</v>
      </c>
      <c r="H755" s="32">
        <f t="shared" si="11"/>
        <v>0</v>
      </c>
      <c r="I755" s="9" t="s">
        <v>939</v>
      </c>
      <c r="J755" s="9">
        <v>0</v>
      </c>
      <c r="K755" s="9">
        <v>0</v>
      </c>
      <c r="L755" s="9" t="s">
        <v>940</v>
      </c>
      <c r="M755" s="75">
        <v>0</v>
      </c>
      <c r="N755" s="78">
        <v>2357755</v>
      </c>
      <c r="O755" s="81">
        <v>670168</v>
      </c>
    </row>
    <row r="756" spans="1:15" x14ac:dyDescent="0.25">
      <c r="B756" s="5" t="s">
        <v>829</v>
      </c>
      <c r="C756" s="5" t="s">
        <v>1727</v>
      </c>
      <c r="D756" s="6">
        <v>125730</v>
      </c>
      <c r="E756" s="6">
        <v>16065815</v>
      </c>
      <c r="F756" s="1">
        <v>7.8259335116207928E-3</v>
      </c>
      <c r="H756" s="32">
        <f t="shared" si="11"/>
        <v>0</v>
      </c>
      <c r="I756" s="9" t="s">
        <v>939</v>
      </c>
      <c r="J756" s="9">
        <v>0</v>
      </c>
      <c r="K756" s="9">
        <v>0</v>
      </c>
      <c r="L756" s="9" t="s">
        <v>940</v>
      </c>
      <c r="M756" s="75">
        <v>0</v>
      </c>
      <c r="N756" s="78">
        <v>191520</v>
      </c>
      <c r="O756" s="81">
        <v>125730</v>
      </c>
    </row>
    <row r="757" spans="1:15" x14ac:dyDescent="0.25">
      <c r="B757" s="5" t="s">
        <v>830</v>
      </c>
      <c r="C757" s="5" t="s">
        <v>1789</v>
      </c>
      <c r="D757" s="6">
        <v>300574</v>
      </c>
      <c r="E757" s="6">
        <v>69014940</v>
      </c>
      <c r="F757" s="1">
        <v>4.5025613294744585E-3</v>
      </c>
      <c r="H757" s="32">
        <f t="shared" si="11"/>
        <v>0</v>
      </c>
      <c r="I757" s="9" t="s">
        <v>939</v>
      </c>
      <c r="J757" s="9">
        <v>0</v>
      </c>
      <c r="K757" s="9">
        <v>0</v>
      </c>
      <c r="L757" s="9" t="s">
        <v>940</v>
      </c>
      <c r="M757" s="75">
        <v>0</v>
      </c>
      <c r="N757" s="78">
        <v>782011</v>
      </c>
      <c r="O757" s="81">
        <v>300574</v>
      </c>
    </row>
    <row r="758" spans="1:15" x14ac:dyDescent="0.25">
      <c r="B758" s="5" t="s">
        <v>831</v>
      </c>
      <c r="C758" s="5" t="s">
        <v>2373</v>
      </c>
      <c r="D758" s="6">
        <v>34609</v>
      </c>
      <c r="E758" s="6">
        <v>4378774</v>
      </c>
      <c r="F758" s="1">
        <v>7.9038105186520248E-3</v>
      </c>
      <c r="H758" s="32">
        <f t="shared" si="11"/>
        <v>0</v>
      </c>
      <c r="I758" s="9" t="s">
        <v>939</v>
      </c>
      <c r="J758" s="9">
        <v>0</v>
      </c>
      <c r="K758" s="9">
        <v>0</v>
      </c>
      <c r="L758" s="9" t="s">
        <v>940</v>
      </c>
      <c r="M758" s="75">
        <v>0</v>
      </c>
      <c r="N758" s="78">
        <v>53201</v>
      </c>
      <c r="O758" s="81">
        <v>34609</v>
      </c>
    </row>
    <row r="759" spans="1:15" x14ac:dyDescent="0.25">
      <c r="B759" s="5" t="s">
        <v>832</v>
      </c>
      <c r="C759" s="5" t="s">
        <v>2374</v>
      </c>
      <c r="D759" s="6">
        <v>5999</v>
      </c>
      <c r="E759" s="6">
        <v>3150400</v>
      </c>
      <c r="F759" s="1">
        <v>1.9042026409344845E-3</v>
      </c>
      <c r="H759" s="32">
        <f t="shared" si="11"/>
        <v>0</v>
      </c>
      <c r="I759" s="9" t="s">
        <v>939</v>
      </c>
      <c r="J759" s="9">
        <v>0</v>
      </c>
      <c r="K759" s="9">
        <v>0</v>
      </c>
      <c r="L759" s="9" t="s">
        <v>940</v>
      </c>
      <c r="M759" s="75">
        <v>0</v>
      </c>
      <c r="N759" s="78">
        <v>27081</v>
      </c>
      <c r="O759" s="81">
        <v>5999</v>
      </c>
    </row>
    <row r="760" spans="1:15" x14ac:dyDescent="0.25">
      <c r="B760" s="5" t="s">
        <v>833</v>
      </c>
      <c r="C760" s="5" t="s">
        <v>1967</v>
      </c>
      <c r="D760" s="6">
        <v>55613</v>
      </c>
      <c r="E760" s="6">
        <v>7210895</v>
      </c>
      <c r="F760" s="1">
        <v>7.7123574812835299E-3</v>
      </c>
      <c r="H760" s="32">
        <f t="shared" si="11"/>
        <v>0</v>
      </c>
      <c r="I760" s="9" t="s">
        <v>939</v>
      </c>
      <c r="J760" s="9">
        <v>0</v>
      </c>
      <c r="K760" s="9">
        <v>0</v>
      </c>
      <c r="L760" s="9" t="s">
        <v>940</v>
      </c>
      <c r="M760" s="75">
        <v>0</v>
      </c>
      <c r="N760" s="78">
        <v>79228</v>
      </c>
      <c r="O760" s="81">
        <v>55613</v>
      </c>
    </row>
    <row r="761" spans="1:15" x14ac:dyDescent="0.25">
      <c r="B761" s="5" t="s">
        <v>834</v>
      </c>
      <c r="C761" s="5" t="s">
        <v>1601</v>
      </c>
      <c r="D761" s="6">
        <v>678391</v>
      </c>
      <c r="E761" s="6">
        <v>99611800</v>
      </c>
      <c r="F761" s="1">
        <v>6.8103477700433082E-3</v>
      </c>
      <c r="H761" s="32">
        <f t="shared" si="11"/>
        <v>0</v>
      </c>
      <c r="I761" s="9" t="s">
        <v>937</v>
      </c>
      <c r="J761" s="9">
        <v>3</v>
      </c>
      <c r="K761" s="9">
        <v>5</v>
      </c>
      <c r="L761" s="9" t="s">
        <v>938</v>
      </c>
      <c r="M761" s="75">
        <v>0</v>
      </c>
      <c r="N761" s="78">
        <v>1154056</v>
      </c>
      <c r="O761" s="81">
        <v>678391</v>
      </c>
    </row>
    <row r="762" spans="1:15" x14ac:dyDescent="0.25">
      <c r="B762" s="5" t="s">
        <v>835</v>
      </c>
      <c r="C762" s="5" t="s">
        <v>2375</v>
      </c>
      <c r="D762" s="6">
        <v>33501</v>
      </c>
      <c r="E762" s="6">
        <v>18231800</v>
      </c>
      <c r="F762" s="1">
        <v>1.8375037023223159E-3</v>
      </c>
      <c r="H762" s="32">
        <f t="shared" si="11"/>
        <v>0</v>
      </c>
      <c r="I762" s="9" t="s">
        <v>939</v>
      </c>
      <c r="J762" s="9">
        <v>0</v>
      </c>
      <c r="K762" s="9">
        <v>0</v>
      </c>
      <c r="L762" s="9" t="s">
        <v>940</v>
      </c>
      <c r="M762" s="75">
        <v>0</v>
      </c>
      <c r="N762" s="78">
        <v>184604</v>
      </c>
      <c r="O762" s="81">
        <v>33501</v>
      </c>
    </row>
    <row r="763" spans="1:15" x14ac:dyDescent="0.25">
      <c r="A763" t="s">
        <v>1221</v>
      </c>
      <c r="B763" s="5" t="s">
        <v>836</v>
      </c>
      <c r="C763" s="5" t="s">
        <v>1222</v>
      </c>
      <c r="D763" s="6">
        <v>2795846</v>
      </c>
      <c r="E763" s="6">
        <v>486055200</v>
      </c>
      <c r="F763" s="1">
        <v>5.7521162205444974E-3</v>
      </c>
      <c r="H763" s="32">
        <f t="shared" si="11"/>
        <v>0</v>
      </c>
      <c r="I763" s="9" t="s">
        <v>942</v>
      </c>
      <c r="J763" s="9">
        <v>2</v>
      </c>
      <c r="K763" s="9">
        <v>4</v>
      </c>
      <c r="L763" s="9" t="s">
        <v>938</v>
      </c>
      <c r="M763" s="75">
        <v>0</v>
      </c>
      <c r="N763" s="78">
        <v>5289777</v>
      </c>
      <c r="O763" s="81">
        <v>2795846</v>
      </c>
    </row>
    <row r="764" spans="1:15" x14ac:dyDescent="0.25">
      <c r="B764" s="5" t="s">
        <v>837</v>
      </c>
      <c r="C764" s="5" t="s">
        <v>1927</v>
      </c>
      <c r="D764" s="6">
        <v>16629</v>
      </c>
      <c r="E764" s="6">
        <v>3538455</v>
      </c>
      <c r="F764" s="1">
        <v>4.6995086838747422E-3</v>
      </c>
      <c r="H764" s="32">
        <f t="shared" si="11"/>
        <v>0</v>
      </c>
      <c r="I764" s="9" t="s">
        <v>939</v>
      </c>
      <c r="J764" s="9">
        <v>0</v>
      </c>
      <c r="K764" s="9">
        <v>0</v>
      </c>
      <c r="L764" s="9" t="s">
        <v>940</v>
      </c>
      <c r="M764" s="75">
        <v>0</v>
      </c>
      <c r="N764" s="78">
        <v>36032</v>
      </c>
      <c r="O764" s="81">
        <v>16629</v>
      </c>
    </row>
    <row r="765" spans="1:15" x14ac:dyDescent="0.25">
      <c r="B765" s="5" t="s">
        <v>838</v>
      </c>
      <c r="C765" s="5" t="s">
        <v>1456</v>
      </c>
      <c r="D765" s="6">
        <v>1184151</v>
      </c>
      <c r="E765" s="6">
        <v>643085229</v>
      </c>
      <c r="F765" s="1">
        <v>1.859545121040247E-3</v>
      </c>
      <c r="H765" s="32">
        <f t="shared" si="11"/>
        <v>0</v>
      </c>
      <c r="I765" s="9" t="s">
        <v>939</v>
      </c>
      <c r="J765" s="9">
        <v>0</v>
      </c>
      <c r="K765" s="9">
        <v>0</v>
      </c>
      <c r="L765" s="9" t="s">
        <v>940</v>
      </c>
      <c r="M765" s="75">
        <v>0</v>
      </c>
      <c r="N765" s="78">
        <v>286005</v>
      </c>
      <c r="O765" s="81">
        <v>1184151</v>
      </c>
    </row>
    <row r="766" spans="1:15" x14ac:dyDescent="0.25">
      <c r="B766" s="5" t="s">
        <v>839</v>
      </c>
      <c r="C766" s="5" t="s">
        <v>2019</v>
      </c>
      <c r="D766" s="6">
        <v>348753</v>
      </c>
      <c r="E766" s="6">
        <v>27555180</v>
      </c>
      <c r="F766" s="1">
        <v>1.4326489611027763E-2</v>
      </c>
      <c r="H766" s="32">
        <f t="shared" si="11"/>
        <v>0</v>
      </c>
      <c r="I766" s="9" t="s">
        <v>939</v>
      </c>
      <c r="J766" s="9">
        <v>0</v>
      </c>
      <c r="K766" s="9">
        <v>0</v>
      </c>
      <c r="L766" s="9" t="s">
        <v>940</v>
      </c>
      <c r="M766" s="75">
        <v>0</v>
      </c>
      <c r="N766" s="78">
        <v>696685</v>
      </c>
      <c r="O766" s="81">
        <v>348753</v>
      </c>
    </row>
    <row r="767" spans="1:15" x14ac:dyDescent="0.25">
      <c r="B767" s="5" t="s">
        <v>840</v>
      </c>
      <c r="C767" s="5" t="s">
        <v>1654</v>
      </c>
      <c r="D767" s="6">
        <v>1247599</v>
      </c>
      <c r="E767" s="6">
        <v>58105360</v>
      </c>
      <c r="F767" s="1">
        <v>2.1471323815909583E-2</v>
      </c>
      <c r="H767" s="32">
        <f t="shared" si="11"/>
        <v>0.26925226863752327</v>
      </c>
      <c r="I767" s="9" t="s">
        <v>946</v>
      </c>
      <c r="J767" s="9">
        <v>3</v>
      </c>
      <c r="K767" s="9">
        <v>6</v>
      </c>
      <c r="L767" s="9" t="s">
        <v>938</v>
      </c>
      <c r="M767" s="75">
        <v>15645000</v>
      </c>
      <c r="N767" s="78">
        <v>78686</v>
      </c>
      <c r="O767" s="81">
        <v>1247599</v>
      </c>
    </row>
    <row r="768" spans="1:15" x14ac:dyDescent="0.25">
      <c r="B768" s="5" t="s">
        <v>841</v>
      </c>
      <c r="C768" s="5" t="s">
        <v>2376</v>
      </c>
      <c r="D768" s="6">
        <v>8000</v>
      </c>
      <c r="E768" s="6">
        <v>4489400</v>
      </c>
      <c r="F768" s="1">
        <v>1.7819753196418229E-3</v>
      </c>
      <c r="H768" s="32">
        <f t="shared" si="11"/>
        <v>0</v>
      </c>
      <c r="I768" s="9" t="s">
        <v>939</v>
      </c>
      <c r="J768" s="9">
        <v>0</v>
      </c>
      <c r="K768" s="9">
        <v>0</v>
      </c>
      <c r="L768" s="9" t="s">
        <v>940</v>
      </c>
      <c r="M768" s="75">
        <v>0</v>
      </c>
      <c r="N768" s="78">
        <v>289280</v>
      </c>
      <c r="O768" s="81">
        <v>8000</v>
      </c>
    </row>
    <row r="769" spans="1:15" x14ac:dyDescent="0.25">
      <c r="A769" t="s">
        <v>1223</v>
      </c>
      <c r="B769" s="5" t="s">
        <v>842</v>
      </c>
      <c r="C769" s="5" t="s">
        <v>1224</v>
      </c>
      <c r="D769" s="6">
        <v>351768</v>
      </c>
      <c r="E769" s="6">
        <v>23526900</v>
      </c>
      <c r="F769" s="1">
        <v>1.4951736097828443E-2</v>
      </c>
      <c r="H769" s="32">
        <f t="shared" si="11"/>
        <v>1.1603738699106129E-2</v>
      </c>
      <c r="I769" s="9" t="s">
        <v>939</v>
      </c>
      <c r="J769" s="9">
        <v>0</v>
      </c>
      <c r="K769" s="9">
        <v>0</v>
      </c>
      <c r="L769" s="9" t="s">
        <v>940</v>
      </c>
      <c r="M769" s="75">
        <v>273000</v>
      </c>
      <c r="N769" s="78">
        <v>73531</v>
      </c>
      <c r="O769" s="81">
        <v>351768</v>
      </c>
    </row>
    <row r="770" spans="1:15" x14ac:dyDescent="0.25">
      <c r="B770" s="5" t="s">
        <v>843</v>
      </c>
      <c r="C770" s="5" t="s">
        <v>1993</v>
      </c>
      <c r="D770" s="6">
        <v>29912</v>
      </c>
      <c r="E770" s="6">
        <v>7124545</v>
      </c>
      <c r="F770" s="1">
        <v>4.6321554569449695E-3</v>
      </c>
      <c r="H770" s="32">
        <f t="shared" si="11"/>
        <v>0</v>
      </c>
      <c r="I770" s="9" t="s">
        <v>939</v>
      </c>
      <c r="J770" s="9">
        <v>0</v>
      </c>
      <c r="K770" s="9">
        <v>0</v>
      </c>
      <c r="L770" s="9" t="s">
        <v>940</v>
      </c>
      <c r="M770" s="75">
        <v>0</v>
      </c>
      <c r="N770" s="78">
        <v>59633</v>
      </c>
      <c r="O770" s="81">
        <v>29912</v>
      </c>
    </row>
    <row r="771" spans="1:15" x14ac:dyDescent="0.25">
      <c r="B771" s="5" t="s">
        <v>844</v>
      </c>
      <c r="C771" s="5" t="s">
        <v>1938</v>
      </c>
      <c r="D771" s="6">
        <v>24001</v>
      </c>
      <c r="E771" s="6">
        <v>7739166</v>
      </c>
      <c r="F771" s="1">
        <v>3.1012385572295516E-3</v>
      </c>
      <c r="H771" s="32">
        <f t="shared" si="11"/>
        <v>0</v>
      </c>
      <c r="I771" s="9" t="s">
        <v>939</v>
      </c>
      <c r="J771" s="9">
        <v>0</v>
      </c>
      <c r="K771" s="9">
        <v>0</v>
      </c>
      <c r="L771" s="9" t="s">
        <v>940</v>
      </c>
      <c r="M771" s="75">
        <v>0</v>
      </c>
      <c r="N771" s="78">
        <v>416926</v>
      </c>
      <c r="O771" s="81">
        <v>24001</v>
      </c>
    </row>
    <row r="772" spans="1:15" x14ac:dyDescent="0.25">
      <c r="A772" t="s">
        <v>1225</v>
      </c>
      <c r="B772" s="5" t="s">
        <v>845</v>
      </c>
      <c r="C772" s="5" t="s">
        <v>1226</v>
      </c>
      <c r="D772" s="6">
        <v>490686</v>
      </c>
      <c r="E772" s="6">
        <v>36086500</v>
      </c>
      <c r="F772" s="1">
        <v>1.3597494908068114E-2</v>
      </c>
      <c r="H772" s="32">
        <f t="shared" si="11"/>
        <v>9.1446939991409529E-3</v>
      </c>
      <c r="I772" s="9" t="s">
        <v>942</v>
      </c>
      <c r="J772" s="9">
        <v>2</v>
      </c>
      <c r="K772" s="9">
        <v>4</v>
      </c>
      <c r="L772" s="9" t="s">
        <v>938</v>
      </c>
      <c r="M772" s="75">
        <v>330000</v>
      </c>
      <c r="N772" s="78">
        <v>85951</v>
      </c>
      <c r="O772" s="81">
        <v>490686</v>
      </c>
    </row>
    <row r="773" spans="1:15" x14ac:dyDescent="0.25">
      <c r="B773" s="5" t="s">
        <v>846</v>
      </c>
      <c r="C773" s="5" t="s">
        <v>2377</v>
      </c>
      <c r="D773" s="6">
        <v>17999</v>
      </c>
      <c r="E773" s="6">
        <v>7492400</v>
      </c>
      <c r="F773" s="1">
        <v>2.4023009983449896E-3</v>
      </c>
      <c r="H773" s="32">
        <f t="shared" si="11"/>
        <v>0</v>
      </c>
      <c r="I773" s="9" t="s">
        <v>939</v>
      </c>
      <c r="J773" s="9">
        <v>0</v>
      </c>
      <c r="K773" s="9">
        <v>0</v>
      </c>
      <c r="L773" s="9" t="s">
        <v>940</v>
      </c>
      <c r="M773" s="75">
        <v>0</v>
      </c>
      <c r="N773" s="78">
        <v>60026</v>
      </c>
      <c r="O773" s="81">
        <v>17999</v>
      </c>
    </row>
    <row r="774" spans="1:15" x14ac:dyDescent="0.25">
      <c r="B774" s="5" t="s">
        <v>847</v>
      </c>
      <c r="C774" s="5" t="s">
        <v>1936</v>
      </c>
      <c r="D774" s="6">
        <v>10192</v>
      </c>
      <c r="E774" s="6">
        <v>4826500</v>
      </c>
      <c r="F774" s="1">
        <v>2.1116751269035531E-3</v>
      </c>
      <c r="H774" s="32">
        <f t="shared" ref="H774:H837" si="12">M774/E774</f>
        <v>0</v>
      </c>
      <c r="I774" s="9" t="s">
        <v>939</v>
      </c>
      <c r="J774" s="9">
        <v>0</v>
      </c>
      <c r="K774" s="9">
        <v>0</v>
      </c>
      <c r="L774" s="9" t="s">
        <v>940</v>
      </c>
      <c r="M774" s="75">
        <v>0</v>
      </c>
      <c r="N774" s="78">
        <v>230654</v>
      </c>
      <c r="O774" s="81">
        <v>10192</v>
      </c>
    </row>
    <row r="775" spans="1:15" x14ac:dyDescent="0.25">
      <c r="B775" s="5" t="s">
        <v>848</v>
      </c>
      <c r="C775" s="5" t="s">
        <v>1495</v>
      </c>
      <c r="D775" s="6">
        <v>198083</v>
      </c>
      <c r="E775" s="6">
        <v>20670432</v>
      </c>
      <c r="F775" s="1">
        <v>9.5829153449719876E-3</v>
      </c>
      <c r="H775" s="32">
        <f t="shared" si="12"/>
        <v>0</v>
      </c>
      <c r="I775" s="9" t="s">
        <v>946</v>
      </c>
      <c r="J775" s="9">
        <v>3</v>
      </c>
      <c r="K775" s="9">
        <v>6</v>
      </c>
      <c r="L775" s="9" t="s">
        <v>938</v>
      </c>
      <c r="M775" s="75">
        <v>0</v>
      </c>
      <c r="N775" s="78">
        <v>2820353</v>
      </c>
      <c r="O775" s="81">
        <v>198083</v>
      </c>
    </row>
    <row r="776" spans="1:15" x14ac:dyDescent="0.25">
      <c r="B776" s="5" t="s">
        <v>849</v>
      </c>
      <c r="C776" s="5" t="s">
        <v>1794</v>
      </c>
      <c r="D776" s="6">
        <v>2045748</v>
      </c>
      <c r="E776" s="6">
        <v>260107575</v>
      </c>
      <c r="F776" s="1">
        <v>8.6553303955103963E-3</v>
      </c>
      <c r="H776" s="32">
        <f t="shared" si="12"/>
        <v>2.4816655185839937E-2</v>
      </c>
      <c r="I776" s="9" t="s">
        <v>942</v>
      </c>
      <c r="J776" s="9">
        <v>2</v>
      </c>
      <c r="K776" s="9">
        <v>4</v>
      </c>
      <c r="L776" s="9" t="s">
        <v>938</v>
      </c>
      <c r="M776" s="75">
        <v>6455000</v>
      </c>
      <c r="N776" s="78">
        <v>431302</v>
      </c>
      <c r="O776" s="81">
        <v>2045748</v>
      </c>
    </row>
    <row r="777" spans="1:15" x14ac:dyDescent="0.25">
      <c r="B777" s="5" t="s">
        <v>850</v>
      </c>
      <c r="C777" s="5" t="s">
        <v>1945</v>
      </c>
      <c r="D777" s="6">
        <v>350452</v>
      </c>
      <c r="E777" s="6">
        <v>38695986</v>
      </c>
      <c r="F777" s="1">
        <v>9.0565465885789811E-3</v>
      </c>
      <c r="H777" s="32">
        <f t="shared" si="12"/>
        <v>0</v>
      </c>
      <c r="I777" s="9" t="s">
        <v>945</v>
      </c>
      <c r="J777" s="9">
        <v>3</v>
      </c>
      <c r="K777" s="9">
        <v>7</v>
      </c>
      <c r="L777" s="9" t="s">
        <v>938</v>
      </c>
      <c r="M777" s="75">
        <v>0</v>
      </c>
      <c r="N777" s="78">
        <v>573712</v>
      </c>
      <c r="O777" s="81">
        <v>350452</v>
      </c>
    </row>
    <row r="778" spans="1:15" x14ac:dyDescent="0.25">
      <c r="B778" s="5" t="s">
        <v>851</v>
      </c>
      <c r="C778" s="5" t="s">
        <v>1889</v>
      </c>
      <c r="D778" s="6">
        <v>256132</v>
      </c>
      <c r="E778" s="6">
        <v>39092400</v>
      </c>
      <c r="F778" s="1">
        <v>6.5519640646263724E-3</v>
      </c>
      <c r="H778" s="32">
        <f t="shared" si="12"/>
        <v>0</v>
      </c>
      <c r="I778" s="9" t="s">
        <v>939</v>
      </c>
      <c r="J778" s="9">
        <v>0</v>
      </c>
      <c r="K778" s="9">
        <v>0</v>
      </c>
      <c r="L778" s="9" t="s">
        <v>940</v>
      </c>
      <c r="M778" s="75">
        <v>0</v>
      </c>
      <c r="N778" s="78">
        <v>232808</v>
      </c>
      <c r="O778" s="81">
        <v>256132</v>
      </c>
    </row>
    <row r="779" spans="1:15" x14ac:dyDescent="0.25">
      <c r="B779" s="5" t="s">
        <v>852</v>
      </c>
      <c r="C779" s="5" t="s">
        <v>1702</v>
      </c>
      <c r="D779" s="6">
        <v>134044</v>
      </c>
      <c r="E779" s="6">
        <v>21514700</v>
      </c>
      <c r="F779" s="1">
        <v>6.2303448339972207E-3</v>
      </c>
      <c r="H779" s="32">
        <f t="shared" si="12"/>
        <v>0</v>
      </c>
      <c r="I779" s="9" t="s">
        <v>939</v>
      </c>
      <c r="J779" s="9">
        <v>0</v>
      </c>
      <c r="K779" s="9">
        <v>0</v>
      </c>
      <c r="L779" s="9" t="s">
        <v>940</v>
      </c>
      <c r="M779" s="75">
        <v>0</v>
      </c>
      <c r="N779" s="78">
        <v>288068</v>
      </c>
      <c r="O779" s="81">
        <v>134044</v>
      </c>
    </row>
    <row r="780" spans="1:15" x14ac:dyDescent="0.25">
      <c r="B780" s="5" t="s">
        <v>853</v>
      </c>
      <c r="C780" s="5" t="s">
        <v>1686</v>
      </c>
      <c r="D780" s="6">
        <v>208803</v>
      </c>
      <c r="E780" s="6">
        <v>28750600</v>
      </c>
      <c r="F780" s="1">
        <v>7.262561476977872E-3</v>
      </c>
      <c r="H780" s="32">
        <f t="shared" si="12"/>
        <v>0</v>
      </c>
      <c r="I780" s="9" t="s">
        <v>939</v>
      </c>
      <c r="J780" s="9">
        <v>0</v>
      </c>
      <c r="K780" s="9">
        <v>0</v>
      </c>
      <c r="L780" s="9" t="s">
        <v>940</v>
      </c>
      <c r="M780" s="75">
        <v>0</v>
      </c>
      <c r="N780" s="78">
        <v>32007</v>
      </c>
      <c r="O780" s="81">
        <v>208803</v>
      </c>
    </row>
    <row r="781" spans="1:15" x14ac:dyDescent="0.25">
      <c r="B781" s="5" t="s">
        <v>854</v>
      </c>
      <c r="C781" s="5" t="s">
        <v>2378</v>
      </c>
      <c r="D781" s="6">
        <v>15997</v>
      </c>
      <c r="E781" s="6">
        <v>3265100</v>
      </c>
      <c r="F781" s="1">
        <v>4.8993905240268289E-3</v>
      </c>
      <c r="H781" s="32">
        <f t="shared" si="12"/>
        <v>0</v>
      </c>
      <c r="I781" s="9" t="s">
        <v>939</v>
      </c>
      <c r="J781" s="9">
        <v>0</v>
      </c>
      <c r="K781" s="9">
        <v>0</v>
      </c>
      <c r="L781" s="9" t="s">
        <v>940</v>
      </c>
      <c r="M781" s="75">
        <v>0</v>
      </c>
      <c r="N781" s="78">
        <v>213308</v>
      </c>
      <c r="O781" s="81">
        <v>15997</v>
      </c>
    </row>
    <row r="782" spans="1:15" x14ac:dyDescent="0.25">
      <c r="B782" s="5" t="s">
        <v>855</v>
      </c>
      <c r="C782" s="5" t="s">
        <v>1517</v>
      </c>
      <c r="D782" s="6">
        <v>68102</v>
      </c>
      <c r="E782" s="6">
        <v>19858400</v>
      </c>
      <c r="F782" s="1">
        <v>3.4293800104741572E-3</v>
      </c>
      <c r="H782" s="32">
        <f t="shared" si="12"/>
        <v>0</v>
      </c>
      <c r="I782" s="9" t="s">
        <v>939</v>
      </c>
      <c r="J782" s="9">
        <v>0</v>
      </c>
      <c r="K782" s="9">
        <v>0</v>
      </c>
      <c r="L782" s="9" t="s">
        <v>940</v>
      </c>
      <c r="M782" s="75">
        <v>0</v>
      </c>
      <c r="N782" s="78">
        <v>19639090</v>
      </c>
      <c r="O782" s="81">
        <v>68102</v>
      </c>
    </row>
    <row r="783" spans="1:15" x14ac:dyDescent="0.25">
      <c r="B783" s="5" t="s">
        <v>856</v>
      </c>
      <c r="C783" s="5" t="s">
        <v>1520</v>
      </c>
      <c r="D783" s="6">
        <v>4575589</v>
      </c>
      <c r="E783" s="6">
        <v>1832250900</v>
      </c>
      <c r="F783" s="1">
        <v>2.761754408198135E-3</v>
      </c>
      <c r="H783" s="32">
        <f t="shared" si="12"/>
        <v>2.7534438651387757E-3</v>
      </c>
      <c r="I783" s="9" t="s">
        <v>948</v>
      </c>
      <c r="J783" s="9">
        <v>5</v>
      </c>
      <c r="K783" s="9">
        <v>12</v>
      </c>
      <c r="L783" s="9" t="s">
        <v>938</v>
      </c>
      <c r="M783" s="75">
        <v>5045000</v>
      </c>
      <c r="N783" s="78">
        <v>386072</v>
      </c>
      <c r="O783" s="81">
        <v>4575589</v>
      </c>
    </row>
    <row r="784" spans="1:15" x14ac:dyDescent="0.25">
      <c r="B784" s="5" t="s">
        <v>857</v>
      </c>
      <c r="C784" s="5" t="s">
        <v>1620</v>
      </c>
      <c r="D784" s="6">
        <v>294798</v>
      </c>
      <c r="E784" s="6">
        <v>35826400</v>
      </c>
      <c r="F784" s="1">
        <v>8.2285130518277017E-3</v>
      </c>
      <c r="H784" s="32">
        <f t="shared" si="12"/>
        <v>3.115021325056383E-2</v>
      </c>
      <c r="I784" s="9" t="s">
        <v>939</v>
      </c>
      <c r="J784" s="9">
        <v>0</v>
      </c>
      <c r="K784" s="9">
        <v>0</v>
      </c>
      <c r="L784" s="9" t="s">
        <v>940</v>
      </c>
      <c r="M784" s="75">
        <v>1116000</v>
      </c>
      <c r="N784" s="78">
        <v>422584</v>
      </c>
      <c r="O784" s="81">
        <v>294798</v>
      </c>
    </row>
    <row r="785" spans="1:15" x14ac:dyDescent="0.25">
      <c r="B785" s="5" t="s">
        <v>858</v>
      </c>
      <c r="C785" s="5" t="s">
        <v>1691</v>
      </c>
      <c r="D785" s="6">
        <v>160975</v>
      </c>
      <c r="E785" s="6">
        <v>42284488</v>
      </c>
      <c r="F785" s="1">
        <v>4.6525335721222406E-3</v>
      </c>
      <c r="H785" s="32">
        <f t="shared" si="12"/>
        <v>0</v>
      </c>
      <c r="I785" s="9" t="s">
        <v>939</v>
      </c>
      <c r="J785" s="9">
        <v>0</v>
      </c>
      <c r="K785" s="9">
        <v>0</v>
      </c>
      <c r="L785" s="9" t="s">
        <v>940</v>
      </c>
      <c r="M785" s="75">
        <v>0</v>
      </c>
      <c r="N785" s="78">
        <v>245886</v>
      </c>
      <c r="O785" s="81">
        <v>160975</v>
      </c>
    </row>
    <row r="786" spans="1:15" x14ac:dyDescent="0.25">
      <c r="B786" s="5" t="s">
        <v>859</v>
      </c>
      <c r="C786" s="5" t="s">
        <v>1934</v>
      </c>
      <c r="D786" s="6">
        <v>196777</v>
      </c>
      <c r="E786" s="6">
        <v>20536985</v>
      </c>
      <c r="F786" s="1">
        <v>9.5815914556104508E-3</v>
      </c>
      <c r="H786" s="32">
        <f t="shared" si="12"/>
        <v>0</v>
      </c>
      <c r="I786" s="9" t="s">
        <v>939</v>
      </c>
      <c r="J786" s="9">
        <v>0</v>
      </c>
      <c r="K786" s="9">
        <v>0</v>
      </c>
      <c r="L786" s="9" t="s">
        <v>940</v>
      </c>
      <c r="M786" s="75">
        <v>0</v>
      </c>
      <c r="N786" s="78">
        <v>211452</v>
      </c>
      <c r="O786" s="81">
        <v>196777</v>
      </c>
    </row>
    <row r="787" spans="1:15" x14ac:dyDescent="0.25">
      <c r="B787" s="5" t="s">
        <v>860</v>
      </c>
      <c r="C787" s="5" t="s">
        <v>1482</v>
      </c>
      <c r="D787" s="6">
        <v>292574</v>
      </c>
      <c r="E787" s="6">
        <v>17402200</v>
      </c>
      <c r="F787" s="1">
        <v>1.6812471986300582E-2</v>
      </c>
      <c r="H787" s="32">
        <f t="shared" si="12"/>
        <v>0</v>
      </c>
      <c r="I787" s="9" t="s">
        <v>939</v>
      </c>
      <c r="J787" s="9">
        <v>0</v>
      </c>
      <c r="K787" s="9">
        <v>0</v>
      </c>
      <c r="L787" s="9" t="s">
        <v>940</v>
      </c>
      <c r="M787" s="75">
        <v>0</v>
      </c>
      <c r="N787" s="78">
        <v>157448</v>
      </c>
      <c r="O787" s="81">
        <v>292574</v>
      </c>
    </row>
    <row r="788" spans="1:15" x14ac:dyDescent="0.25">
      <c r="B788" s="5" t="s">
        <v>861</v>
      </c>
      <c r="C788" s="5" t="s">
        <v>2004</v>
      </c>
      <c r="D788" s="6">
        <v>177002</v>
      </c>
      <c r="E788" s="6">
        <v>11312014</v>
      </c>
      <c r="F788" s="1">
        <v>1.5647257862304625E-2</v>
      </c>
      <c r="H788" s="32">
        <f t="shared" si="12"/>
        <v>0</v>
      </c>
      <c r="I788" s="9" t="s">
        <v>939</v>
      </c>
      <c r="J788" s="9">
        <v>0</v>
      </c>
      <c r="K788" s="9">
        <v>0</v>
      </c>
      <c r="L788" s="9" t="s">
        <v>940</v>
      </c>
      <c r="M788" s="75">
        <v>0</v>
      </c>
      <c r="N788" s="78">
        <v>18572714</v>
      </c>
      <c r="O788" s="81">
        <v>177002</v>
      </c>
    </row>
    <row r="789" spans="1:15" x14ac:dyDescent="0.25">
      <c r="B789" s="5" t="s">
        <v>862</v>
      </c>
      <c r="C789" s="5" t="s">
        <v>1841</v>
      </c>
      <c r="D789" s="6">
        <v>5952698</v>
      </c>
      <c r="E789" s="6">
        <v>1796973200</v>
      </c>
      <c r="F789" s="1">
        <v>3.5095626356586732E-3</v>
      </c>
      <c r="H789" s="32">
        <f t="shared" si="12"/>
        <v>5.8904606924577397E-3</v>
      </c>
      <c r="I789" s="9" t="s">
        <v>944</v>
      </c>
      <c r="J789" s="9">
        <v>1</v>
      </c>
      <c r="K789" s="9">
        <v>1</v>
      </c>
      <c r="L789" s="9" t="s">
        <v>938</v>
      </c>
      <c r="M789" s="75">
        <v>10585000</v>
      </c>
      <c r="N789" s="78">
        <v>30707</v>
      </c>
      <c r="O789" s="81">
        <v>5952698</v>
      </c>
    </row>
    <row r="790" spans="1:15" x14ac:dyDescent="0.25">
      <c r="B790" s="5" t="s">
        <v>863</v>
      </c>
      <c r="C790" s="5" t="s">
        <v>2022</v>
      </c>
      <c r="D790" s="6">
        <v>22301</v>
      </c>
      <c r="E790" s="6">
        <v>2784006</v>
      </c>
      <c r="F790" s="1">
        <v>8.0103994028748494E-3</v>
      </c>
      <c r="H790" s="32">
        <f t="shared" si="12"/>
        <v>0</v>
      </c>
      <c r="I790" s="9" t="s">
        <v>939</v>
      </c>
      <c r="J790" s="9">
        <v>0</v>
      </c>
      <c r="K790" s="9">
        <v>0</v>
      </c>
      <c r="L790" s="9" t="s">
        <v>940</v>
      </c>
      <c r="M790" s="75">
        <v>0</v>
      </c>
      <c r="N790" s="78">
        <v>154422</v>
      </c>
      <c r="O790" s="81">
        <v>22301</v>
      </c>
    </row>
    <row r="791" spans="1:15" x14ac:dyDescent="0.25">
      <c r="B791" s="5" t="s">
        <v>864</v>
      </c>
      <c r="C791" s="5" t="s">
        <v>2379</v>
      </c>
      <c r="D791" s="6">
        <v>124007</v>
      </c>
      <c r="E791" s="6">
        <v>13553123</v>
      </c>
      <c r="F791" s="1">
        <v>9.1496992980879752E-3</v>
      </c>
      <c r="H791" s="32">
        <f t="shared" si="12"/>
        <v>0</v>
      </c>
      <c r="I791" s="9" t="s">
        <v>939</v>
      </c>
      <c r="J791" s="9">
        <v>0</v>
      </c>
      <c r="K791" s="9">
        <v>0</v>
      </c>
      <c r="L791" s="9" t="s">
        <v>940</v>
      </c>
      <c r="M791" s="75">
        <v>0</v>
      </c>
      <c r="N791" s="78">
        <v>44437</v>
      </c>
      <c r="O791" s="81">
        <v>124007</v>
      </c>
    </row>
    <row r="792" spans="1:15" x14ac:dyDescent="0.25">
      <c r="B792" s="5" t="s">
        <v>865</v>
      </c>
      <c r="C792" s="5" t="s">
        <v>2380</v>
      </c>
      <c r="D792" s="6">
        <v>15003</v>
      </c>
      <c r="E792" s="6">
        <v>4338400</v>
      </c>
      <c r="F792" s="1">
        <v>3.4581873501751798E-3</v>
      </c>
      <c r="H792" s="32">
        <f t="shared" si="12"/>
        <v>0</v>
      </c>
      <c r="I792" s="9" t="s">
        <v>939</v>
      </c>
      <c r="J792" s="9">
        <v>0</v>
      </c>
      <c r="K792" s="9">
        <v>0</v>
      </c>
      <c r="L792" s="9" t="s">
        <v>940</v>
      </c>
      <c r="M792" s="75">
        <v>0</v>
      </c>
      <c r="N792" s="78">
        <v>3635267</v>
      </c>
      <c r="O792" s="81">
        <v>15003</v>
      </c>
    </row>
    <row r="793" spans="1:15" x14ac:dyDescent="0.25">
      <c r="A793" t="s">
        <v>1227</v>
      </c>
      <c r="B793" s="5" t="s">
        <v>866</v>
      </c>
      <c r="C793" s="5" t="s">
        <v>1228</v>
      </c>
      <c r="D793" s="6">
        <v>4943944</v>
      </c>
      <c r="E793" s="6">
        <v>323034754</v>
      </c>
      <c r="F793" s="1">
        <v>1.9120345174996247E-2</v>
      </c>
      <c r="H793" s="32">
        <f t="shared" si="12"/>
        <v>2.9891520588524664E-2</v>
      </c>
      <c r="I793" s="9" t="s">
        <v>951</v>
      </c>
      <c r="J793" s="9">
        <v>4</v>
      </c>
      <c r="K793" s="9">
        <v>8</v>
      </c>
      <c r="L793" s="9" t="s">
        <v>938</v>
      </c>
      <c r="M793" s="75">
        <v>9656000</v>
      </c>
      <c r="N793" s="78">
        <v>2710223</v>
      </c>
      <c r="O793" s="81">
        <v>4943944</v>
      </c>
    </row>
    <row r="794" spans="1:15" x14ac:dyDescent="0.25">
      <c r="B794" s="5" t="s">
        <v>867</v>
      </c>
      <c r="C794" s="5" t="s">
        <v>1573</v>
      </c>
      <c r="D794" s="6">
        <v>1998756</v>
      </c>
      <c r="E794" s="6">
        <v>235691000</v>
      </c>
      <c r="F794" s="1">
        <v>8.4804086706747397E-3</v>
      </c>
      <c r="H794" s="32">
        <f t="shared" si="12"/>
        <v>0</v>
      </c>
      <c r="I794" s="9" t="s">
        <v>942</v>
      </c>
      <c r="J794" s="9">
        <v>2</v>
      </c>
      <c r="K794" s="9">
        <v>4</v>
      </c>
      <c r="L794" s="9" t="s">
        <v>938</v>
      </c>
      <c r="M794" s="75">
        <v>0</v>
      </c>
      <c r="N794" s="78">
        <v>351339</v>
      </c>
      <c r="O794" s="81">
        <v>1998756</v>
      </c>
    </row>
    <row r="795" spans="1:15" x14ac:dyDescent="0.25">
      <c r="A795" t="s">
        <v>1229</v>
      </c>
      <c r="B795" s="5" t="s">
        <v>868</v>
      </c>
      <c r="C795" s="5" t="s">
        <v>1230</v>
      </c>
      <c r="D795" s="6">
        <v>468692</v>
      </c>
      <c r="E795" s="6">
        <v>32366097</v>
      </c>
      <c r="F795" s="1">
        <v>1.4635654091996325E-2</v>
      </c>
      <c r="H795" s="32">
        <f t="shared" si="12"/>
        <v>1.1709783851911461E-2</v>
      </c>
      <c r="I795" s="9" t="s">
        <v>942</v>
      </c>
      <c r="J795" s="9">
        <v>2</v>
      </c>
      <c r="K795" s="9">
        <v>4</v>
      </c>
      <c r="L795" s="9" t="s">
        <v>938</v>
      </c>
      <c r="M795" s="75">
        <v>379000</v>
      </c>
      <c r="N795" s="78">
        <v>16523377</v>
      </c>
      <c r="O795" s="81">
        <v>468692</v>
      </c>
    </row>
    <row r="796" spans="1:15" x14ac:dyDescent="0.25">
      <c r="B796" s="5" t="s">
        <v>869</v>
      </c>
      <c r="C796" s="5" t="s">
        <v>1623</v>
      </c>
      <c r="D796" s="6">
        <v>7623945</v>
      </c>
      <c r="E796" s="6">
        <v>1591776300</v>
      </c>
      <c r="F796" s="1">
        <v>5.4082637114272903E-3</v>
      </c>
      <c r="H796" s="32">
        <f t="shared" si="12"/>
        <v>6.6372391648248565E-3</v>
      </c>
      <c r="I796" s="9" t="s">
        <v>941</v>
      </c>
      <c r="J796" s="9">
        <v>2</v>
      </c>
      <c r="K796" s="9">
        <v>2</v>
      </c>
      <c r="L796" s="9" t="s">
        <v>938</v>
      </c>
      <c r="M796" s="75">
        <v>10565000</v>
      </c>
      <c r="N796" s="78">
        <v>2384841</v>
      </c>
      <c r="O796" s="81">
        <v>7623945</v>
      </c>
    </row>
    <row r="797" spans="1:15" x14ac:dyDescent="0.25">
      <c r="A797" t="s">
        <v>1231</v>
      </c>
      <c r="B797" s="5" t="s">
        <v>870</v>
      </c>
      <c r="C797" s="5" t="s">
        <v>1232</v>
      </c>
      <c r="D797" s="6">
        <v>1207236</v>
      </c>
      <c r="E797" s="6">
        <v>198504144</v>
      </c>
      <c r="F797" s="1">
        <v>6.0816664865192939E-3</v>
      </c>
      <c r="H797" s="32">
        <f t="shared" si="12"/>
        <v>1.1284399181107272E-2</v>
      </c>
      <c r="I797" s="9" t="s">
        <v>942</v>
      </c>
      <c r="J797" s="9">
        <v>2</v>
      </c>
      <c r="K797" s="9">
        <v>4</v>
      </c>
      <c r="L797" s="9" t="s">
        <v>938</v>
      </c>
      <c r="M797" s="75">
        <v>2240000</v>
      </c>
      <c r="N797" s="78">
        <v>413368</v>
      </c>
      <c r="O797" s="81">
        <v>1207236</v>
      </c>
    </row>
    <row r="798" spans="1:15" x14ac:dyDescent="0.25">
      <c r="B798" s="5" t="s">
        <v>871</v>
      </c>
      <c r="C798" s="5" t="s">
        <v>2381</v>
      </c>
      <c r="D798" s="6">
        <v>247023</v>
      </c>
      <c r="E798" s="6">
        <v>40068374</v>
      </c>
      <c r="F798" s="1">
        <v>6.1650367943555679E-3</v>
      </c>
      <c r="H798" s="32">
        <f t="shared" si="12"/>
        <v>0</v>
      </c>
      <c r="I798" s="9" t="s">
        <v>939</v>
      </c>
      <c r="J798" s="9">
        <v>0</v>
      </c>
      <c r="K798" s="9">
        <v>0</v>
      </c>
      <c r="L798" s="9" t="s">
        <v>940</v>
      </c>
      <c r="M798" s="75">
        <v>0</v>
      </c>
      <c r="N798" s="78">
        <v>11631740</v>
      </c>
      <c r="O798" s="81">
        <v>247023</v>
      </c>
    </row>
    <row r="799" spans="1:15" x14ac:dyDescent="0.25">
      <c r="B799" s="5" t="s">
        <v>872</v>
      </c>
      <c r="C799" s="5" t="s">
        <v>1558</v>
      </c>
      <c r="D799" s="6">
        <v>8458800</v>
      </c>
      <c r="E799" s="6">
        <v>776348500</v>
      </c>
      <c r="F799" s="1">
        <v>1.0895622262424671E-2</v>
      </c>
      <c r="H799" s="32">
        <f t="shared" si="12"/>
        <v>1.810398294065101E-2</v>
      </c>
      <c r="I799" s="9" t="s">
        <v>943</v>
      </c>
      <c r="J799" s="9">
        <v>2</v>
      </c>
      <c r="K799" s="9">
        <v>3</v>
      </c>
      <c r="L799" s="9" t="s">
        <v>938</v>
      </c>
      <c r="M799" s="75">
        <v>14055000</v>
      </c>
      <c r="N799" s="78">
        <v>104668</v>
      </c>
      <c r="O799" s="81">
        <v>8458800</v>
      </c>
    </row>
    <row r="800" spans="1:15" x14ac:dyDescent="0.25">
      <c r="A800" t="s">
        <v>1233</v>
      </c>
      <c r="B800" s="5" t="s">
        <v>873</v>
      </c>
      <c r="C800" s="5" t="s">
        <v>1234</v>
      </c>
      <c r="D800" s="6">
        <v>128497</v>
      </c>
      <c r="E800" s="6">
        <v>9393900</v>
      </c>
      <c r="F800" s="1">
        <v>1.3678770265810792E-2</v>
      </c>
      <c r="H800" s="32">
        <f t="shared" si="12"/>
        <v>9.1229414833029945E-2</v>
      </c>
      <c r="I800" s="9" t="s">
        <v>939</v>
      </c>
      <c r="J800" s="9">
        <v>0</v>
      </c>
      <c r="K800" s="9">
        <v>0</v>
      </c>
      <c r="L800" s="9" t="s">
        <v>940</v>
      </c>
      <c r="M800" s="75">
        <v>857000</v>
      </c>
      <c r="N800" s="78">
        <v>1516575</v>
      </c>
      <c r="O800" s="81">
        <v>128497</v>
      </c>
    </row>
    <row r="801" spans="1:15" x14ac:dyDescent="0.25">
      <c r="B801" s="5" t="s">
        <v>874</v>
      </c>
      <c r="C801" s="5" t="s">
        <v>1759</v>
      </c>
      <c r="D801" s="6">
        <v>1037734</v>
      </c>
      <c r="E801" s="6">
        <v>139796988</v>
      </c>
      <c r="F801" s="1">
        <v>7.4231499179367158E-3</v>
      </c>
      <c r="H801" s="32">
        <f t="shared" si="12"/>
        <v>0</v>
      </c>
      <c r="I801" s="9" t="s">
        <v>939</v>
      </c>
      <c r="J801" s="9">
        <v>0</v>
      </c>
      <c r="K801" s="9">
        <v>0</v>
      </c>
      <c r="L801" s="9" t="s">
        <v>940</v>
      </c>
      <c r="M801" s="75">
        <v>0</v>
      </c>
      <c r="N801" s="78">
        <v>299073</v>
      </c>
      <c r="O801" s="81">
        <v>1037734</v>
      </c>
    </row>
    <row r="802" spans="1:15" x14ac:dyDescent="0.25">
      <c r="A802" t="s">
        <v>1235</v>
      </c>
      <c r="B802" s="5" t="s">
        <v>875</v>
      </c>
      <c r="C802" s="5" t="s">
        <v>1236</v>
      </c>
      <c r="D802" s="6">
        <v>292699</v>
      </c>
      <c r="E802" s="6">
        <v>21827679</v>
      </c>
      <c r="F802" s="1">
        <v>1.3409533830875927E-2</v>
      </c>
      <c r="H802" s="32">
        <f t="shared" si="12"/>
        <v>0</v>
      </c>
      <c r="I802" s="9" t="s">
        <v>946</v>
      </c>
      <c r="J802" s="9">
        <v>3</v>
      </c>
      <c r="K802" s="9">
        <v>6</v>
      </c>
      <c r="L802" s="9" t="s">
        <v>938</v>
      </c>
      <c r="M802" s="75">
        <v>0</v>
      </c>
      <c r="N802" s="78">
        <v>11578</v>
      </c>
      <c r="O802" s="81">
        <v>292699</v>
      </c>
    </row>
    <row r="803" spans="1:15" x14ac:dyDescent="0.25">
      <c r="B803" s="5" t="s">
        <v>876</v>
      </c>
      <c r="C803" s="5" t="s">
        <v>2012</v>
      </c>
      <c r="D803" s="6">
        <v>35629</v>
      </c>
      <c r="E803" s="6">
        <v>1111700</v>
      </c>
      <c r="F803" s="1">
        <v>3.2049113969596116E-2</v>
      </c>
      <c r="H803" s="32">
        <f t="shared" si="12"/>
        <v>0</v>
      </c>
      <c r="I803" s="9" t="s">
        <v>939</v>
      </c>
      <c r="J803" s="9">
        <v>0</v>
      </c>
      <c r="K803" s="9">
        <v>0</v>
      </c>
      <c r="L803" s="9" t="s">
        <v>940</v>
      </c>
      <c r="M803" s="75">
        <v>0</v>
      </c>
      <c r="N803" s="78">
        <v>79601</v>
      </c>
      <c r="O803" s="81">
        <v>35629</v>
      </c>
    </row>
    <row r="804" spans="1:15" x14ac:dyDescent="0.25">
      <c r="B804" s="5" t="s">
        <v>877</v>
      </c>
      <c r="C804" s="5" t="s">
        <v>1921</v>
      </c>
      <c r="D804" s="6">
        <v>55090</v>
      </c>
      <c r="E804" s="6">
        <v>7570500</v>
      </c>
      <c r="F804" s="1">
        <v>7.276930189551549E-3</v>
      </c>
      <c r="H804" s="32">
        <f t="shared" si="12"/>
        <v>0</v>
      </c>
      <c r="I804" s="9" t="s">
        <v>939</v>
      </c>
      <c r="J804" s="9">
        <v>0</v>
      </c>
      <c r="K804" s="9">
        <v>0</v>
      </c>
      <c r="L804" s="9" t="s">
        <v>940</v>
      </c>
      <c r="M804" s="75">
        <v>0</v>
      </c>
      <c r="N804" s="78">
        <v>1016068</v>
      </c>
      <c r="O804" s="81">
        <v>55090</v>
      </c>
    </row>
    <row r="805" spans="1:15" x14ac:dyDescent="0.25">
      <c r="B805" s="5" t="s">
        <v>878</v>
      </c>
      <c r="C805" s="5" t="s">
        <v>1693</v>
      </c>
      <c r="D805" s="6">
        <v>844984</v>
      </c>
      <c r="E805" s="6">
        <v>92785100</v>
      </c>
      <c r="F805" s="1">
        <v>9.106893240401745E-3</v>
      </c>
      <c r="H805" s="32">
        <f t="shared" si="12"/>
        <v>0</v>
      </c>
      <c r="I805" s="9" t="s">
        <v>945</v>
      </c>
      <c r="J805" s="9">
        <v>3</v>
      </c>
      <c r="K805" s="9">
        <v>7</v>
      </c>
      <c r="L805" s="9" t="s">
        <v>938</v>
      </c>
      <c r="M805" s="75">
        <v>0</v>
      </c>
      <c r="N805" s="78">
        <v>34226</v>
      </c>
      <c r="O805" s="81">
        <v>844984</v>
      </c>
    </row>
    <row r="806" spans="1:15" x14ac:dyDescent="0.25">
      <c r="B806" s="5" t="s">
        <v>879</v>
      </c>
      <c r="C806" s="5" t="s">
        <v>1655</v>
      </c>
      <c r="D806" s="6">
        <v>42358</v>
      </c>
      <c r="E806" s="6">
        <v>3132043</v>
      </c>
      <c r="F806" s="1">
        <v>1.3524079969527876E-2</v>
      </c>
      <c r="H806" s="32">
        <f t="shared" si="12"/>
        <v>0</v>
      </c>
      <c r="I806" s="9" t="s">
        <v>939</v>
      </c>
      <c r="J806" s="9">
        <v>0</v>
      </c>
      <c r="K806" s="9">
        <v>0</v>
      </c>
      <c r="L806" s="9" t="s">
        <v>940</v>
      </c>
      <c r="M806" s="75">
        <v>0</v>
      </c>
      <c r="N806" s="78">
        <v>121210</v>
      </c>
      <c r="O806" s="81">
        <v>42358</v>
      </c>
    </row>
    <row r="807" spans="1:15" x14ac:dyDescent="0.25">
      <c r="B807" s="5" t="s">
        <v>880</v>
      </c>
      <c r="C807" s="5" t="s">
        <v>1790</v>
      </c>
      <c r="D807" s="6">
        <v>65128</v>
      </c>
      <c r="E807" s="6">
        <v>10597240</v>
      </c>
      <c r="F807" s="1">
        <v>7.077786291524963E-3</v>
      </c>
      <c r="H807" s="32">
        <f t="shared" si="12"/>
        <v>0</v>
      </c>
      <c r="I807" s="9" t="s">
        <v>939</v>
      </c>
      <c r="J807" s="9">
        <v>0</v>
      </c>
      <c r="K807" s="9">
        <v>0</v>
      </c>
      <c r="L807" s="9" t="s">
        <v>940</v>
      </c>
      <c r="M807" s="75">
        <v>0</v>
      </c>
      <c r="N807" s="78">
        <v>754294</v>
      </c>
      <c r="O807" s="81">
        <v>65128</v>
      </c>
    </row>
    <row r="808" spans="1:15" x14ac:dyDescent="0.25">
      <c r="B808" s="5" t="s">
        <v>881</v>
      </c>
      <c r="C808" s="5" t="s">
        <v>1709</v>
      </c>
      <c r="D808" s="6">
        <v>670563</v>
      </c>
      <c r="E808" s="6">
        <v>66543686</v>
      </c>
      <c r="F808" s="1">
        <v>1.0077034205769726E-2</v>
      </c>
      <c r="H808" s="32">
        <f t="shared" si="12"/>
        <v>9.3923261179129757E-3</v>
      </c>
      <c r="I808" s="9" t="s">
        <v>945</v>
      </c>
      <c r="J808" s="9">
        <v>3</v>
      </c>
      <c r="K808" s="9">
        <v>7</v>
      </c>
      <c r="L808" s="9" t="s">
        <v>938</v>
      </c>
      <c r="M808" s="75">
        <v>625000</v>
      </c>
      <c r="N808" s="78">
        <v>1534483</v>
      </c>
      <c r="O808" s="81">
        <v>670563</v>
      </c>
    </row>
    <row r="809" spans="1:15" x14ac:dyDescent="0.25">
      <c r="B809" s="5" t="s">
        <v>882</v>
      </c>
      <c r="C809" s="5" t="s">
        <v>1611</v>
      </c>
      <c r="D809" s="6">
        <v>906034</v>
      </c>
      <c r="E809" s="6">
        <v>115265100</v>
      </c>
      <c r="F809" s="1">
        <v>7.8604365068004108E-3</v>
      </c>
      <c r="H809" s="32">
        <f t="shared" si="12"/>
        <v>0</v>
      </c>
      <c r="I809" s="9" t="s">
        <v>939</v>
      </c>
      <c r="J809" s="9">
        <v>0</v>
      </c>
      <c r="K809" s="9">
        <v>0</v>
      </c>
      <c r="L809" s="9" t="s">
        <v>940</v>
      </c>
      <c r="M809" s="75">
        <v>0</v>
      </c>
      <c r="N809" s="78">
        <v>5411963</v>
      </c>
      <c r="O809" s="81">
        <v>906034</v>
      </c>
    </row>
    <row r="810" spans="1:15" x14ac:dyDescent="0.25">
      <c r="A810" t="s">
        <v>1237</v>
      </c>
      <c r="B810" s="5" t="s">
        <v>883</v>
      </c>
      <c r="C810" s="5" t="s">
        <v>1238</v>
      </c>
      <c r="D810" s="6">
        <v>4924892</v>
      </c>
      <c r="E810" s="6">
        <v>458502500</v>
      </c>
      <c r="F810" s="1">
        <v>1.0970869297332075E-2</v>
      </c>
      <c r="H810" s="32">
        <f t="shared" si="12"/>
        <v>7.9497930763736298E-3</v>
      </c>
      <c r="I810" s="9" t="s">
        <v>939</v>
      </c>
      <c r="J810" s="9">
        <v>0</v>
      </c>
      <c r="K810" s="9">
        <v>0</v>
      </c>
      <c r="L810" s="9" t="s">
        <v>940</v>
      </c>
      <c r="M810" s="75">
        <v>3645000</v>
      </c>
      <c r="N810" s="78">
        <v>3640867</v>
      </c>
      <c r="O810" s="81">
        <v>4924892</v>
      </c>
    </row>
    <row r="811" spans="1:15" x14ac:dyDescent="0.25">
      <c r="A811" t="s">
        <v>1239</v>
      </c>
      <c r="B811" s="5" t="s">
        <v>884</v>
      </c>
      <c r="C811" s="5" t="s">
        <v>1240</v>
      </c>
      <c r="D811" s="6">
        <v>2040179</v>
      </c>
      <c r="E811" s="6">
        <v>358993600</v>
      </c>
      <c r="F811" s="1">
        <v>7.2822607422527866E-3</v>
      </c>
      <c r="H811" s="32">
        <f t="shared" si="12"/>
        <v>0</v>
      </c>
      <c r="I811" s="9" t="s">
        <v>939</v>
      </c>
      <c r="J811" s="9">
        <v>0</v>
      </c>
      <c r="K811" s="9">
        <v>0</v>
      </c>
      <c r="L811" s="9" t="s">
        <v>940</v>
      </c>
      <c r="M811" s="75">
        <v>0</v>
      </c>
      <c r="N811" s="78">
        <v>1483822</v>
      </c>
      <c r="O811" s="81">
        <v>2040179</v>
      </c>
    </row>
    <row r="812" spans="1:15" x14ac:dyDescent="0.25">
      <c r="A812" t="s">
        <v>1241</v>
      </c>
      <c r="B812" s="5" t="s">
        <v>885</v>
      </c>
      <c r="C812" s="5" t="s">
        <v>1242</v>
      </c>
      <c r="D812" s="6">
        <v>927758</v>
      </c>
      <c r="E812" s="6">
        <v>137400200</v>
      </c>
      <c r="F812" s="1">
        <v>6.7522318017004344E-3</v>
      </c>
      <c r="H812" s="32">
        <f t="shared" si="12"/>
        <v>0</v>
      </c>
      <c r="I812" s="9" t="s">
        <v>939</v>
      </c>
      <c r="J812" s="9">
        <v>0</v>
      </c>
      <c r="K812" s="9">
        <v>0</v>
      </c>
      <c r="L812" s="9" t="s">
        <v>940</v>
      </c>
      <c r="M812" s="75">
        <v>0</v>
      </c>
      <c r="N812" s="78">
        <v>551966</v>
      </c>
      <c r="O812" s="81">
        <v>927758</v>
      </c>
    </row>
    <row r="813" spans="1:15" x14ac:dyDescent="0.25">
      <c r="B813" s="5" t="s">
        <v>886</v>
      </c>
      <c r="C813" s="5" t="s">
        <v>1939</v>
      </c>
      <c r="D813" s="6">
        <v>515644</v>
      </c>
      <c r="E813" s="6">
        <v>45609038</v>
      </c>
      <c r="F813" s="1">
        <v>1.1305741638313003E-2</v>
      </c>
      <c r="H813" s="32">
        <f t="shared" si="12"/>
        <v>8.6386386838503373E-2</v>
      </c>
      <c r="I813" s="9" t="s">
        <v>946</v>
      </c>
      <c r="J813" s="9">
        <v>3</v>
      </c>
      <c r="K813" s="9">
        <v>6</v>
      </c>
      <c r="L813" s="9" t="s">
        <v>938</v>
      </c>
      <c r="M813" s="75">
        <v>3940000</v>
      </c>
      <c r="N813" s="78">
        <v>32287</v>
      </c>
      <c r="O813" s="81">
        <v>515644</v>
      </c>
    </row>
    <row r="814" spans="1:15" x14ac:dyDescent="0.25">
      <c r="B814" s="5" t="s">
        <v>887</v>
      </c>
      <c r="C814" s="5" t="s">
        <v>1875</v>
      </c>
      <c r="D814" s="6">
        <v>91262</v>
      </c>
      <c r="E814" s="6">
        <v>3033735</v>
      </c>
      <c r="F814" s="1">
        <v>3.0082390188991458E-2</v>
      </c>
      <c r="H814" s="32">
        <f t="shared" si="12"/>
        <v>9.592136425890857E-2</v>
      </c>
      <c r="I814" s="9" t="s">
        <v>939</v>
      </c>
      <c r="J814" s="9">
        <v>0</v>
      </c>
      <c r="K814" s="9">
        <v>0</v>
      </c>
      <c r="L814" s="9" t="s">
        <v>940</v>
      </c>
      <c r="M814" s="75">
        <v>291000</v>
      </c>
      <c r="N814" s="78">
        <v>109571</v>
      </c>
      <c r="O814" s="81">
        <v>91262</v>
      </c>
    </row>
    <row r="815" spans="1:15" x14ac:dyDescent="0.25">
      <c r="B815" s="5" t="s">
        <v>888</v>
      </c>
      <c r="C815" s="5" t="s">
        <v>1766</v>
      </c>
      <c r="D815" s="6">
        <v>131256</v>
      </c>
      <c r="E815" s="6">
        <v>9723322</v>
      </c>
      <c r="F815" s="1">
        <v>1.3499090125782114E-2</v>
      </c>
      <c r="H815" s="32">
        <f t="shared" si="12"/>
        <v>2.8015116644290912E-2</v>
      </c>
      <c r="I815" s="9" t="s">
        <v>939</v>
      </c>
      <c r="J815" s="9">
        <v>0</v>
      </c>
      <c r="K815" s="9">
        <v>0</v>
      </c>
      <c r="L815" s="9" t="s">
        <v>940</v>
      </c>
      <c r="M815" s="75">
        <v>272400</v>
      </c>
      <c r="N815" s="78">
        <v>1753512</v>
      </c>
      <c r="O815" s="81">
        <v>131256</v>
      </c>
    </row>
    <row r="816" spans="1:15" x14ac:dyDescent="0.25">
      <c r="B816" s="5" t="s">
        <v>889</v>
      </c>
      <c r="C816" s="5" t="s">
        <v>1729</v>
      </c>
      <c r="D816" s="6">
        <v>1069584</v>
      </c>
      <c r="E816" s="6">
        <v>168259900</v>
      </c>
      <c r="F816" s="1">
        <v>6.356737404455845E-3</v>
      </c>
      <c r="H816" s="32">
        <f t="shared" si="12"/>
        <v>0</v>
      </c>
      <c r="I816" s="9" t="s">
        <v>942</v>
      </c>
      <c r="J816" s="9">
        <v>2</v>
      </c>
      <c r="K816" s="9">
        <v>4</v>
      </c>
      <c r="L816" s="9" t="s">
        <v>938</v>
      </c>
      <c r="M816" s="75">
        <v>0</v>
      </c>
      <c r="N816" s="78">
        <v>24026942</v>
      </c>
      <c r="O816" s="81">
        <v>1069584</v>
      </c>
    </row>
    <row r="817" spans="1:15" x14ac:dyDescent="0.25">
      <c r="B817" s="5" t="s">
        <v>890</v>
      </c>
      <c r="C817" s="5" t="s">
        <v>1622</v>
      </c>
      <c r="D817" s="6">
        <v>4960118</v>
      </c>
      <c r="E817" s="6">
        <v>2364463881</v>
      </c>
      <c r="F817" s="1">
        <v>2.20399179783453E-3</v>
      </c>
      <c r="H817" s="32">
        <f t="shared" si="12"/>
        <v>1.9243262866319082E-4</v>
      </c>
      <c r="I817" s="9" t="s">
        <v>944</v>
      </c>
      <c r="J817" s="9">
        <v>1</v>
      </c>
      <c r="K817" s="9">
        <v>1</v>
      </c>
      <c r="L817" s="9" t="s">
        <v>938</v>
      </c>
      <c r="M817" s="75">
        <v>455000</v>
      </c>
      <c r="N817" s="78">
        <v>975317</v>
      </c>
      <c r="O817" s="81">
        <v>4960118</v>
      </c>
    </row>
    <row r="818" spans="1:15" x14ac:dyDescent="0.25">
      <c r="A818" t="s">
        <v>1243</v>
      </c>
      <c r="B818" s="5" t="s">
        <v>891</v>
      </c>
      <c r="C818" s="5" t="s">
        <v>1244</v>
      </c>
      <c r="D818" s="6">
        <v>1139171</v>
      </c>
      <c r="E818" s="6">
        <v>59551500</v>
      </c>
      <c r="F818" s="1">
        <v>1.912917390829786E-2</v>
      </c>
      <c r="H818" s="32">
        <f t="shared" si="12"/>
        <v>0</v>
      </c>
      <c r="I818" s="9" t="s">
        <v>937</v>
      </c>
      <c r="J818" s="9">
        <v>3</v>
      </c>
      <c r="K818" s="9">
        <v>5</v>
      </c>
      <c r="L818" s="9" t="s">
        <v>938</v>
      </c>
      <c r="M818" s="75">
        <v>0</v>
      </c>
      <c r="N818" s="78">
        <v>977624</v>
      </c>
      <c r="O818" s="81">
        <v>1139171</v>
      </c>
    </row>
    <row r="819" spans="1:15" x14ac:dyDescent="0.25">
      <c r="B819" s="5" t="s">
        <v>892</v>
      </c>
      <c r="C819" s="5" t="s">
        <v>1247</v>
      </c>
      <c r="D819" s="6">
        <v>1294555</v>
      </c>
      <c r="E819" s="6">
        <v>82374400</v>
      </c>
      <c r="F819" s="1">
        <v>1.5715501417916247E-2</v>
      </c>
      <c r="H819" s="32">
        <f t="shared" si="12"/>
        <v>6.0698469427394918E-3</v>
      </c>
      <c r="I819" s="9" t="s">
        <v>937</v>
      </c>
      <c r="J819" s="9">
        <v>3</v>
      </c>
      <c r="K819" s="9">
        <v>5</v>
      </c>
      <c r="L819" s="9" t="s">
        <v>938</v>
      </c>
      <c r="M819" s="75">
        <v>500000</v>
      </c>
      <c r="N819" s="78">
        <v>83860</v>
      </c>
      <c r="O819" s="81">
        <v>1294555</v>
      </c>
    </row>
    <row r="820" spans="1:15" x14ac:dyDescent="0.25">
      <c r="B820" s="5" t="s">
        <v>893</v>
      </c>
      <c r="C820" s="5" t="s">
        <v>1898</v>
      </c>
      <c r="D820" s="6">
        <v>87491</v>
      </c>
      <c r="E820" s="6">
        <v>7484024</v>
      </c>
      <c r="F820" s="1">
        <v>1.1690368710736363E-2</v>
      </c>
      <c r="H820" s="32">
        <f t="shared" si="12"/>
        <v>0</v>
      </c>
      <c r="I820" s="9" t="s">
        <v>939</v>
      </c>
      <c r="J820" s="9">
        <v>0</v>
      </c>
      <c r="K820" s="9">
        <v>0</v>
      </c>
      <c r="L820" s="9" t="s">
        <v>940</v>
      </c>
      <c r="M820" s="75">
        <v>0</v>
      </c>
      <c r="N820" s="78">
        <v>408663</v>
      </c>
      <c r="O820" s="81">
        <v>87491</v>
      </c>
    </row>
    <row r="821" spans="1:15" x14ac:dyDescent="0.25">
      <c r="A821" t="s">
        <v>1251</v>
      </c>
      <c r="B821" s="5" t="s">
        <v>894</v>
      </c>
      <c r="C821" s="5" t="s">
        <v>1252</v>
      </c>
      <c r="D821" s="6">
        <v>562590</v>
      </c>
      <c r="E821" s="6">
        <v>39338300</v>
      </c>
      <c r="F821" s="1">
        <v>1.4301329747345463E-2</v>
      </c>
      <c r="H821" s="32">
        <f t="shared" si="12"/>
        <v>3.2792469425470851E-3</v>
      </c>
      <c r="I821" s="9" t="s">
        <v>942</v>
      </c>
      <c r="J821" s="9">
        <v>2</v>
      </c>
      <c r="K821" s="9">
        <v>4</v>
      </c>
      <c r="L821" s="9" t="s">
        <v>938</v>
      </c>
      <c r="M821" s="75">
        <v>129000</v>
      </c>
      <c r="N821" s="78">
        <v>21130001</v>
      </c>
      <c r="O821" s="81">
        <v>562590</v>
      </c>
    </row>
    <row r="822" spans="1:15" x14ac:dyDescent="0.25">
      <c r="B822" s="5" t="s">
        <v>895</v>
      </c>
      <c r="C822" s="5" t="s">
        <v>2382</v>
      </c>
      <c r="D822" s="6">
        <v>14671112</v>
      </c>
      <c r="E822" s="6">
        <v>1999479631</v>
      </c>
      <c r="F822" s="1">
        <v>8.8795608240932362E-3</v>
      </c>
      <c r="H822" s="32">
        <f t="shared" si="12"/>
        <v>1.4986399228790142E-2</v>
      </c>
      <c r="I822" s="9" t="s">
        <v>943</v>
      </c>
      <c r="J822" s="9">
        <v>2</v>
      </c>
      <c r="K822" s="9">
        <v>3</v>
      </c>
      <c r="L822" s="9" t="s">
        <v>938</v>
      </c>
      <c r="M822" s="75">
        <v>29965000</v>
      </c>
      <c r="N822" s="78">
        <v>43758</v>
      </c>
      <c r="O822" s="81">
        <v>14671112</v>
      </c>
    </row>
    <row r="823" spans="1:15" x14ac:dyDescent="0.25">
      <c r="B823" s="5" t="s">
        <v>896</v>
      </c>
      <c r="C823" s="5" t="s">
        <v>2383</v>
      </c>
      <c r="D823" s="6">
        <v>13017</v>
      </c>
      <c r="E823" s="6">
        <v>3975045</v>
      </c>
      <c r="F823" s="1">
        <v>3.274679909284046E-3</v>
      </c>
      <c r="H823" s="32">
        <f t="shared" si="12"/>
        <v>0</v>
      </c>
      <c r="I823" s="9" t="s">
        <v>939</v>
      </c>
      <c r="J823" s="9">
        <v>0</v>
      </c>
      <c r="K823" s="9">
        <v>0</v>
      </c>
      <c r="L823" s="9" t="s">
        <v>940</v>
      </c>
      <c r="M823" s="75">
        <v>0</v>
      </c>
      <c r="N823" s="78">
        <v>274333</v>
      </c>
      <c r="O823" s="81">
        <v>13017</v>
      </c>
    </row>
    <row r="824" spans="1:15" x14ac:dyDescent="0.25">
      <c r="B824" s="5" t="s">
        <v>897</v>
      </c>
      <c r="C824" s="5" t="s">
        <v>1656</v>
      </c>
      <c r="D824" s="6">
        <v>434134</v>
      </c>
      <c r="E824" s="6">
        <v>23463479</v>
      </c>
      <c r="F824" s="1">
        <v>1.8502541758619852E-2</v>
      </c>
      <c r="H824" s="32">
        <f t="shared" si="12"/>
        <v>0</v>
      </c>
      <c r="I824" s="9" t="s">
        <v>945</v>
      </c>
      <c r="J824" s="9">
        <v>3</v>
      </c>
      <c r="K824" s="9">
        <v>7</v>
      </c>
      <c r="L824" s="9" t="s">
        <v>938</v>
      </c>
      <c r="M824" s="75">
        <v>0</v>
      </c>
      <c r="N824" s="78">
        <v>28120</v>
      </c>
      <c r="O824" s="81">
        <v>434134</v>
      </c>
    </row>
    <row r="825" spans="1:15" x14ac:dyDescent="0.25">
      <c r="B825" s="5" t="s">
        <v>898</v>
      </c>
      <c r="C825" s="5" t="s">
        <v>2384</v>
      </c>
      <c r="D825" s="6">
        <v>2601</v>
      </c>
      <c r="E825" s="6">
        <v>2487382</v>
      </c>
      <c r="F825" s="1">
        <v>1.0456777447131161E-3</v>
      </c>
      <c r="H825" s="32">
        <f t="shared" si="12"/>
        <v>0</v>
      </c>
      <c r="I825" s="9" t="s">
        <v>939</v>
      </c>
      <c r="J825" s="9">
        <v>0</v>
      </c>
      <c r="K825" s="9">
        <v>0</v>
      </c>
      <c r="L825" s="9" t="s">
        <v>940</v>
      </c>
      <c r="M825" s="75">
        <v>0</v>
      </c>
      <c r="N825" s="78">
        <v>86548</v>
      </c>
      <c r="O825" s="81">
        <v>2601</v>
      </c>
    </row>
    <row r="826" spans="1:15" x14ac:dyDescent="0.25">
      <c r="B826" s="5" t="s">
        <v>899</v>
      </c>
      <c r="C826" s="5" t="s">
        <v>2385</v>
      </c>
      <c r="D826" s="6">
        <v>40004</v>
      </c>
      <c r="E826" s="6">
        <v>8455300</v>
      </c>
      <c r="F826" s="1">
        <v>4.7312336640923441E-3</v>
      </c>
      <c r="H826" s="32">
        <f t="shared" si="12"/>
        <v>0</v>
      </c>
      <c r="I826" s="9" t="s">
        <v>939</v>
      </c>
      <c r="J826" s="9">
        <v>0</v>
      </c>
      <c r="K826" s="9">
        <v>0</v>
      </c>
      <c r="L826" s="9" t="s">
        <v>940</v>
      </c>
      <c r="M826" s="75">
        <v>0</v>
      </c>
      <c r="N826" s="78">
        <v>562708</v>
      </c>
      <c r="O826" s="81">
        <v>40004</v>
      </c>
    </row>
    <row r="827" spans="1:15" x14ac:dyDescent="0.25">
      <c r="B827" s="5" t="s">
        <v>900</v>
      </c>
      <c r="C827" s="5" t="s">
        <v>1563</v>
      </c>
      <c r="D827" s="6">
        <v>790194</v>
      </c>
      <c r="E827" s="6">
        <v>47143702</v>
      </c>
      <c r="F827" s="1">
        <v>1.6761390524655872E-2</v>
      </c>
      <c r="H827" s="32">
        <f t="shared" si="12"/>
        <v>0</v>
      </c>
      <c r="I827" s="9" t="s">
        <v>939</v>
      </c>
      <c r="J827" s="9">
        <v>0</v>
      </c>
      <c r="K827" s="9">
        <v>0</v>
      </c>
      <c r="L827" s="9" t="s">
        <v>940</v>
      </c>
      <c r="M827" s="75">
        <v>0</v>
      </c>
      <c r="N827" s="78">
        <v>31849692</v>
      </c>
      <c r="O827" s="81">
        <v>790194</v>
      </c>
    </row>
    <row r="828" spans="1:15" x14ac:dyDescent="0.25">
      <c r="B828" s="5" t="s">
        <v>901</v>
      </c>
      <c r="C828" s="5" t="s">
        <v>1474</v>
      </c>
      <c r="D828" s="6">
        <v>6483052</v>
      </c>
      <c r="E828" s="6">
        <v>3001474100</v>
      </c>
      <c r="F828" s="1">
        <v>2.4554654661187981E-3</v>
      </c>
      <c r="H828" s="32">
        <f t="shared" si="12"/>
        <v>1.026162444646782E-3</v>
      </c>
      <c r="I828" s="9" t="s">
        <v>941</v>
      </c>
      <c r="J828" s="9">
        <v>2</v>
      </c>
      <c r="K828" s="9">
        <v>2</v>
      </c>
      <c r="L828" s="9" t="s">
        <v>938</v>
      </c>
      <c r="M828" s="75">
        <v>3080000</v>
      </c>
      <c r="N828" s="78">
        <v>26650</v>
      </c>
      <c r="O828" s="81">
        <v>6483052</v>
      </c>
    </row>
    <row r="829" spans="1:15" x14ac:dyDescent="0.25">
      <c r="B829" s="5" t="s">
        <v>902</v>
      </c>
      <c r="C829" s="5" t="s">
        <v>2030</v>
      </c>
      <c r="D829" s="6">
        <v>34895</v>
      </c>
      <c r="E829" s="6">
        <v>2800300</v>
      </c>
      <c r="F829" s="1">
        <v>1.2461164875191943E-2</v>
      </c>
      <c r="H829" s="32">
        <f t="shared" si="12"/>
        <v>0</v>
      </c>
      <c r="I829" s="9" t="s">
        <v>939</v>
      </c>
      <c r="J829" s="9">
        <v>0</v>
      </c>
      <c r="K829" s="9">
        <v>0</v>
      </c>
      <c r="L829" s="9" t="s">
        <v>940</v>
      </c>
      <c r="M829" s="75">
        <v>0</v>
      </c>
      <c r="N829" s="78">
        <v>535023</v>
      </c>
      <c r="O829" s="81">
        <v>34895</v>
      </c>
    </row>
    <row r="830" spans="1:15" x14ac:dyDescent="0.25">
      <c r="B830" s="5" t="s">
        <v>903</v>
      </c>
      <c r="C830" s="5" t="s">
        <v>2017</v>
      </c>
      <c r="D830" s="6">
        <v>276479</v>
      </c>
      <c r="E830" s="6">
        <v>52121500</v>
      </c>
      <c r="F830" s="1">
        <v>6.1962146139309116E-3</v>
      </c>
      <c r="H830" s="32">
        <f t="shared" si="12"/>
        <v>0</v>
      </c>
      <c r="I830" s="9" t="s">
        <v>939</v>
      </c>
      <c r="J830" s="9">
        <v>0</v>
      </c>
      <c r="K830" s="9">
        <v>0</v>
      </c>
      <c r="L830" s="9" t="s">
        <v>940</v>
      </c>
      <c r="M830" s="75">
        <v>0</v>
      </c>
      <c r="N830" s="78">
        <v>97951</v>
      </c>
      <c r="O830" s="81">
        <v>276479</v>
      </c>
    </row>
    <row r="831" spans="1:15" x14ac:dyDescent="0.25">
      <c r="B831" s="5" t="s">
        <v>904</v>
      </c>
      <c r="C831" s="5" t="s">
        <v>2386</v>
      </c>
      <c r="D831" s="6">
        <v>82999</v>
      </c>
      <c r="E831" s="6">
        <v>6890973</v>
      </c>
      <c r="F831" s="1">
        <v>1.2044598056036498E-2</v>
      </c>
      <c r="H831" s="32">
        <f t="shared" si="12"/>
        <v>0</v>
      </c>
      <c r="I831" s="9" t="s">
        <v>939</v>
      </c>
      <c r="J831" s="9">
        <v>0</v>
      </c>
      <c r="K831" s="9">
        <v>0</v>
      </c>
      <c r="L831" s="9" t="s">
        <v>940</v>
      </c>
      <c r="M831" s="75">
        <v>0</v>
      </c>
      <c r="N831" s="78">
        <v>15019788</v>
      </c>
      <c r="O831" s="81">
        <v>82999</v>
      </c>
    </row>
    <row r="832" spans="1:15" x14ac:dyDescent="0.25">
      <c r="A832" t="s">
        <v>1253</v>
      </c>
      <c r="B832" s="5" t="s">
        <v>905</v>
      </c>
      <c r="C832" s="5" t="s">
        <v>1254</v>
      </c>
      <c r="D832" s="6">
        <v>6085503</v>
      </c>
      <c r="E832" s="6">
        <v>1169441313</v>
      </c>
      <c r="F832" s="1">
        <v>5.2037694686779034E-3</v>
      </c>
      <c r="H832" s="32">
        <f t="shared" si="12"/>
        <v>2.1848039500550805E-3</v>
      </c>
      <c r="I832" s="9" t="s">
        <v>939</v>
      </c>
      <c r="J832" s="9">
        <v>0</v>
      </c>
      <c r="K832" s="9">
        <v>0</v>
      </c>
      <c r="L832" s="9" t="s">
        <v>940</v>
      </c>
      <c r="M832" s="75">
        <v>2555000</v>
      </c>
      <c r="N832" s="78">
        <v>281549</v>
      </c>
      <c r="O832" s="81">
        <v>6085503</v>
      </c>
    </row>
    <row r="833" spans="1:15" x14ac:dyDescent="0.25">
      <c r="B833" s="5" t="s">
        <v>906</v>
      </c>
      <c r="C833" s="5" t="s">
        <v>1682</v>
      </c>
      <c r="D833" s="6">
        <v>100000</v>
      </c>
      <c r="E833" s="6">
        <v>24997500</v>
      </c>
      <c r="F833" s="1">
        <v>4.0004000400040004E-3</v>
      </c>
      <c r="H833" s="32">
        <f t="shared" si="12"/>
        <v>0</v>
      </c>
      <c r="I833" s="9" t="s">
        <v>939</v>
      </c>
      <c r="J833" s="9">
        <v>0</v>
      </c>
      <c r="K833" s="9">
        <v>0</v>
      </c>
      <c r="L833" s="9" t="s">
        <v>940</v>
      </c>
      <c r="M833" s="75">
        <v>0</v>
      </c>
      <c r="N833" s="78">
        <v>157383</v>
      </c>
      <c r="O833" s="81">
        <v>100000</v>
      </c>
    </row>
    <row r="834" spans="1:15" x14ac:dyDescent="0.25">
      <c r="B834" s="5" t="s">
        <v>907</v>
      </c>
      <c r="C834" s="5" t="s">
        <v>2031</v>
      </c>
      <c r="D834" s="6">
        <v>144249</v>
      </c>
      <c r="E834" s="6">
        <v>14306512</v>
      </c>
      <c r="F834" s="1">
        <v>1.0082751127598396E-2</v>
      </c>
      <c r="H834" s="32">
        <f t="shared" si="12"/>
        <v>0</v>
      </c>
      <c r="I834" s="9" t="s">
        <v>939</v>
      </c>
      <c r="J834" s="9">
        <v>0</v>
      </c>
      <c r="K834" s="9">
        <v>0</v>
      </c>
      <c r="L834" s="9" t="s">
        <v>940</v>
      </c>
      <c r="M834" s="75">
        <v>0</v>
      </c>
      <c r="N834" s="78">
        <v>195027</v>
      </c>
      <c r="O834" s="81">
        <v>144249</v>
      </c>
    </row>
    <row r="835" spans="1:15" x14ac:dyDescent="0.25">
      <c r="B835" s="5" t="s">
        <v>908</v>
      </c>
      <c r="C835" s="5" t="s">
        <v>2387</v>
      </c>
      <c r="D835" s="6">
        <v>27996</v>
      </c>
      <c r="E835" s="6">
        <v>15577500</v>
      </c>
      <c r="F835" s="1">
        <v>1.797207510832932E-3</v>
      </c>
      <c r="H835" s="32">
        <f t="shared" si="12"/>
        <v>0</v>
      </c>
      <c r="I835" s="9" t="s">
        <v>939</v>
      </c>
      <c r="J835" s="9">
        <v>0</v>
      </c>
      <c r="K835" s="9">
        <v>0</v>
      </c>
      <c r="L835" s="9" t="s">
        <v>940</v>
      </c>
      <c r="M835" s="75">
        <v>0</v>
      </c>
      <c r="N835" s="78">
        <v>3116040</v>
      </c>
      <c r="O835" s="81">
        <v>27996</v>
      </c>
    </row>
    <row r="836" spans="1:15" x14ac:dyDescent="0.25">
      <c r="A836" t="s">
        <v>1255</v>
      </c>
      <c r="B836" s="5" t="s">
        <v>909</v>
      </c>
      <c r="C836" s="5" t="s">
        <v>1256</v>
      </c>
      <c r="D836" s="6">
        <v>2188455</v>
      </c>
      <c r="E836" s="6">
        <v>286619928</v>
      </c>
      <c r="F836" s="1">
        <v>7.6353902370668381E-3</v>
      </c>
      <c r="H836" s="32">
        <f t="shared" si="12"/>
        <v>0</v>
      </c>
      <c r="I836" s="9" t="s">
        <v>937</v>
      </c>
      <c r="J836" s="9">
        <v>3</v>
      </c>
      <c r="K836" s="9">
        <v>5</v>
      </c>
      <c r="L836" s="9" t="s">
        <v>938</v>
      </c>
      <c r="M836" s="75">
        <v>0</v>
      </c>
      <c r="N836" s="78">
        <v>64079</v>
      </c>
      <c r="O836" s="81">
        <v>2188455</v>
      </c>
    </row>
    <row r="837" spans="1:15" x14ac:dyDescent="0.25">
      <c r="B837" s="5" t="s">
        <v>910</v>
      </c>
      <c r="C837" s="5" t="s">
        <v>1932</v>
      </c>
      <c r="D837" s="6">
        <v>84577</v>
      </c>
      <c r="E837" s="6">
        <v>5093000</v>
      </c>
      <c r="F837" s="1">
        <v>1.6606518751227175E-2</v>
      </c>
      <c r="H837" s="32">
        <f t="shared" si="12"/>
        <v>0</v>
      </c>
      <c r="I837" s="9" t="s">
        <v>939</v>
      </c>
      <c r="J837" s="9">
        <v>0</v>
      </c>
      <c r="K837" s="9">
        <v>0</v>
      </c>
      <c r="L837" s="9" t="s">
        <v>940</v>
      </c>
      <c r="M837" s="75">
        <v>0</v>
      </c>
      <c r="N837" s="78">
        <v>654404</v>
      </c>
      <c r="O837" s="81">
        <v>84577</v>
      </c>
    </row>
    <row r="838" spans="1:15" x14ac:dyDescent="0.25">
      <c r="A838" t="s">
        <v>1257</v>
      </c>
      <c r="B838" s="5" t="s">
        <v>911</v>
      </c>
      <c r="C838" s="5" t="s">
        <v>1258</v>
      </c>
      <c r="D838" s="6">
        <v>680375</v>
      </c>
      <c r="E838" s="6">
        <v>54228400</v>
      </c>
      <c r="F838" s="1">
        <v>1.2546470115290143E-2</v>
      </c>
      <c r="H838" s="32">
        <f t="shared" ref="H838:H857" si="13">M838/E838</f>
        <v>0</v>
      </c>
      <c r="I838" s="9" t="s">
        <v>937</v>
      </c>
      <c r="J838" s="9">
        <v>3</v>
      </c>
      <c r="K838" s="9">
        <v>5</v>
      </c>
      <c r="L838" s="9" t="s">
        <v>938</v>
      </c>
      <c r="M838" s="75">
        <v>0</v>
      </c>
      <c r="N838" s="78">
        <v>22363222</v>
      </c>
      <c r="O838" s="81">
        <v>680375</v>
      </c>
    </row>
    <row r="839" spans="1:15" x14ac:dyDescent="0.25">
      <c r="B839" s="5" t="s">
        <v>912</v>
      </c>
      <c r="C839" s="5" t="s">
        <v>1779</v>
      </c>
      <c r="D839" s="6">
        <v>9399524</v>
      </c>
      <c r="E839" s="6">
        <v>1779660400</v>
      </c>
      <c r="F839" s="1">
        <v>5.2816391262063261E-3</v>
      </c>
      <c r="H839" s="32">
        <f t="shared" si="13"/>
        <v>2.1830007567735957E-3</v>
      </c>
      <c r="I839" s="9" t="s">
        <v>939</v>
      </c>
      <c r="J839" s="9">
        <v>0</v>
      </c>
      <c r="K839" s="9">
        <v>0</v>
      </c>
      <c r="L839" s="9" t="s">
        <v>940</v>
      </c>
      <c r="M839" s="75">
        <v>3885000</v>
      </c>
      <c r="N839" s="78">
        <v>2068812</v>
      </c>
      <c r="O839" s="81">
        <v>9399524</v>
      </c>
    </row>
    <row r="840" spans="1:15" x14ac:dyDescent="0.25">
      <c r="B840" s="5" t="s">
        <v>913</v>
      </c>
      <c r="C840" s="5" t="s">
        <v>1781</v>
      </c>
      <c r="D840" s="6">
        <v>1544560</v>
      </c>
      <c r="E840" s="6">
        <v>175215300</v>
      </c>
      <c r="F840" s="1">
        <v>8.8152119135714753E-3</v>
      </c>
      <c r="H840" s="32">
        <f t="shared" si="13"/>
        <v>2.0357811218540845E-2</v>
      </c>
      <c r="I840" s="9" t="s">
        <v>946</v>
      </c>
      <c r="J840" s="9">
        <v>3</v>
      </c>
      <c r="K840" s="9">
        <v>6</v>
      </c>
      <c r="L840" s="9" t="s">
        <v>938</v>
      </c>
      <c r="M840" s="75">
        <v>3567000</v>
      </c>
      <c r="N840" s="78">
        <v>993605</v>
      </c>
      <c r="O840" s="81">
        <v>1544560</v>
      </c>
    </row>
    <row r="841" spans="1:15" x14ac:dyDescent="0.25">
      <c r="A841" t="s">
        <v>1259</v>
      </c>
      <c r="B841" s="5" t="s">
        <v>914</v>
      </c>
      <c r="C841" s="5" t="s">
        <v>1260</v>
      </c>
      <c r="D841" s="6">
        <v>789896</v>
      </c>
      <c r="E841" s="6">
        <v>77746334</v>
      </c>
      <c r="F841" s="1">
        <v>1.0159913134939585E-2</v>
      </c>
      <c r="H841" s="32">
        <f t="shared" si="13"/>
        <v>0</v>
      </c>
      <c r="I841" s="9" t="s">
        <v>937</v>
      </c>
      <c r="J841" s="9">
        <v>3</v>
      </c>
      <c r="K841" s="9">
        <v>5</v>
      </c>
      <c r="L841" s="9" t="s">
        <v>938</v>
      </c>
      <c r="M841" s="75">
        <v>0</v>
      </c>
      <c r="N841" s="78">
        <v>53009</v>
      </c>
      <c r="O841" s="81">
        <v>789896</v>
      </c>
    </row>
    <row r="842" spans="1:15" x14ac:dyDescent="0.25">
      <c r="B842" s="5" t="s">
        <v>915</v>
      </c>
      <c r="C842" s="5" t="s">
        <v>1755</v>
      </c>
      <c r="D842" s="6">
        <v>57757</v>
      </c>
      <c r="E842" s="6">
        <v>4995960</v>
      </c>
      <c r="F842" s="1">
        <v>1.6413462077358505E-2</v>
      </c>
      <c r="H842" s="32">
        <f t="shared" si="13"/>
        <v>0</v>
      </c>
      <c r="I842" s="9" t="s">
        <v>939</v>
      </c>
      <c r="J842" s="9">
        <v>0</v>
      </c>
      <c r="K842" s="9">
        <v>0</v>
      </c>
      <c r="L842" s="9" t="s">
        <v>940</v>
      </c>
      <c r="M842" s="75">
        <v>0</v>
      </c>
      <c r="N842" s="78">
        <v>22601</v>
      </c>
      <c r="O842" s="81">
        <v>57757</v>
      </c>
    </row>
    <row r="843" spans="1:15" x14ac:dyDescent="0.25">
      <c r="B843" s="5" t="s">
        <v>916</v>
      </c>
      <c r="C843" s="5" t="s">
        <v>2388</v>
      </c>
      <c r="D843" s="6">
        <v>18344</v>
      </c>
      <c r="E843" s="6">
        <v>2009100</v>
      </c>
      <c r="F843" s="1">
        <v>9.1304564232741036E-3</v>
      </c>
      <c r="H843" s="32">
        <f t="shared" si="13"/>
        <v>0</v>
      </c>
      <c r="I843" s="9" t="s">
        <v>939</v>
      </c>
      <c r="J843" s="9">
        <v>0</v>
      </c>
      <c r="K843" s="9">
        <v>0</v>
      </c>
      <c r="L843" s="9" t="s">
        <v>940</v>
      </c>
      <c r="M843" s="75">
        <v>0</v>
      </c>
      <c r="N843" s="78">
        <v>64971</v>
      </c>
      <c r="O843" s="81">
        <v>18344</v>
      </c>
    </row>
    <row r="844" spans="1:15" x14ac:dyDescent="0.25">
      <c r="B844" s="5" t="s">
        <v>917</v>
      </c>
      <c r="C844" s="5" t="s">
        <v>1861</v>
      </c>
      <c r="D844" s="6">
        <v>41497</v>
      </c>
      <c r="E844" s="6">
        <v>5165433</v>
      </c>
      <c r="F844" s="1">
        <v>8.0335956346738024E-3</v>
      </c>
      <c r="H844" s="32">
        <f t="shared" si="13"/>
        <v>0</v>
      </c>
      <c r="I844" s="9" t="s">
        <v>939</v>
      </c>
      <c r="J844" s="9">
        <v>0</v>
      </c>
      <c r="K844" s="9">
        <v>0</v>
      </c>
      <c r="L844" s="9" t="s">
        <v>940</v>
      </c>
      <c r="M844" s="75">
        <v>0</v>
      </c>
      <c r="N844" s="78">
        <v>157961</v>
      </c>
      <c r="O844" s="81">
        <v>41497</v>
      </c>
    </row>
    <row r="845" spans="1:15" x14ac:dyDescent="0.25">
      <c r="B845" s="5" t="s">
        <v>918</v>
      </c>
      <c r="C845" s="5" t="s">
        <v>1657</v>
      </c>
      <c r="D845" s="6">
        <v>199455</v>
      </c>
      <c r="E845" s="6">
        <v>13367424</v>
      </c>
      <c r="F845" s="1">
        <v>1.492097505098963E-2</v>
      </c>
      <c r="H845" s="32">
        <f t="shared" si="13"/>
        <v>0</v>
      </c>
      <c r="I845" s="9" t="s">
        <v>939</v>
      </c>
      <c r="J845" s="9">
        <v>0</v>
      </c>
      <c r="K845" s="9">
        <v>0</v>
      </c>
      <c r="L845" s="9" t="s">
        <v>940</v>
      </c>
      <c r="M845" s="75">
        <v>0</v>
      </c>
      <c r="N845" s="78">
        <v>110933151</v>
      </c>
      <c r="O845" s="81">
        <v>199455</v>
      </c>
    </row>
    <row r="846" spans="1:15" x14ac:dyDescent="0.25">
      <c r="B846" s="5" t="s">
        <v>919</v>
      </c>
      <c r="C846" s="5" t="s">
        <v>1606</v>
      </c>
      <c r="D846" s="6">
        <v>35829921</v>
      </c>
      <c r="E846" s="6">
        <v>10493489300</v>
      </c>
      <c r="F846" s="1">
        <v>3.7676784975613402E-3</v>
      </c>
      <c r="H846" s="32">
        <f t="shared" si="13"/>
        <v>3.2100857052381995E-3</v>
      </c>
      <c r="I846" s="9" t="s">
        <v>944</v>
      </c>
      <c r="J846" s="9">
        <v>1</v>
      </c>
      <c r="K846" s="9">
        <v>1</v>
      </c>
      <c r="L846" s="9" t="s">
        <v>938</v>
      </c>
      <c r="M846" s="75">
        <v>33685000</v>
      </c>
      <c r="N846" s="78">
        <v>3998051</v>
      </c>
      <c r="O846" s="81">
        <v>35829921</v>
      </c>
    </row>
    <row r="847" spans="1:15" x14ac:dyDescent="0.25">
      <c r="B847" s="5" t="s">
        <v>920</v>
      </c>
      <c r="C847" s="5" t="s">
        <v>2389</v>
      </c>
      <c r="D847" s="6">
        <v>401604</v>
      </c>
      <c r="E847" s="6">
        <v>337996210</v>
      </c>
      <c r="F847" s="1">
        <v>1.1881908379978579E-3</v>
      </c>
      <c r="H847" s="32">
        <f t="shared" si="13"/>
        <v>1.3165828102037003E-3</v>
      </c>
      <c r="I847" s="9" t="s">
        <v>939</v>
      </c>
      <c r="J847" s="9">
        <v>0</v>
      </c>
      <c r="K847" s="9">
        <v>0</v>
      </c>
      <c r="L847" s="9" t="s">
        <v>940</v>
      </c>
      <c r="M847" s="75">
        <v>445000</v>
      </c>
      <c r="N847" s="78">
        <v>47514</v>
      </c>
      <c r="O847" s="81">
        <v>401604</v>
      </c>
    </row>
    <row r="848" spans="1:15" x14ac:dyDescent="0.25">
      <c r="B848" s="5" t="s">
        <v>921</v>
      </c>
      <c r="C848" s="5" t="s">
        <v>1957</v>
      </c>
      <c r="D848" s="6">
        <v>49140</v>
      </c>
      <c r="E848" s="6">
        <v>4391665</v>
      </c>
      <c r="F848" s="1">
        <v>1.1189378060485032E-2</v>
      </c>
      <c r="H848" s="32">
        <f t="shared" si="13"/>
        <v>0</v>
      </c>
      <c r="I848" s="9" t="s">
        <v>939</v>
      </c>
      <c r="J848" s="9">
        <v>0</v>
      </c>
      <c r="K848" s="9">
        <v>0</v>
      </c>
      <c r="L848" s="9" t="s">
        <v>940</v>
      </c>
      <c r="M848" s="75">
        <v>0</v>
      </c>
      <c r="N848" s="78">
        <v>8937595</v>
      </c>
      <c r="O848" s="81">
        <v>49140</v>
      </c>
    </row>
    <row r="849" spans="1:15" x14ac:dyDescent="0.25">
      <c r="A849" t="s">
        <v>1263</v>
      </c>
      <c r="B849" s="5" t="s">
        <v>922</v>
      </c>
      <c r="C849" s="5" t="s">
        <v>1262</v>
      </c>
      <c r="D849" s="6">
        <v>5052798</v>
      </c>
      <c r="E849" s="6">
        <v>720271602</v>
      </c>
      <c r="F849" s="1">
        <v>7.015128718069326E-3</v>
      </c>
      <c r="H849" s="32">
        <f t="shared" si="13"/>
        <v>1.7229611670848577E-2</v>
      </c>
      <c r="I849" s="9" t="s">
        <v>942</v>
      </c>
      <c r="J849" s="9">
        <v>2</v>
      </c>
      <c r="K849" s="9">
        <v>4</v>
      </c>
      <c r="L849" s="9" t="s">
        <v>938</v>
      </c>
      <c r="M849" s="75">
        <v>12410000</v>
      </c>
      <c r="N849" s="78">
        <v>368561</v>
      </c>
      <c r="O849" s="81">
        <v>5052798</v>
      </c>
    </row>
    <row r="850" spans="1:15" x14ac:dyDescent="0.25">
      <c r="B850" s="5" t="s">
        <v>923</v>
      </c>
      <c r="C850" s="5" t="s">
        <v>1647</v>
      </c>
      <c r="D850" s="6">
        <v>175460</v>
      </c>
      <c r="E850" s="6">
        <v>30716600</v>
      </c>
      <c r="F850" s="1">
        <v>5.7122207535990309E-3</v>
      </c>
      <c r="H850" s="32">
        <f t="shared" si="13"/>
        <v>0</v>
      </c>
      <c r="I850" s="9" t="s">
        <v>939</v>
      </c>
      <c r="J850" s="9">
        <v>0</v>
      </c>
      <c r="K850" s="9">
        <v>0</v>
      </c>
      <c r="L850" s="9" t="s">
        <v>940</v>
      </c>
      <c r="M850" s="75">
        <v>0</v>
      </c>
      <c r="N850" s="78">
        <v>65390</v>
      </c>
      <c r="O850" s="81">
        <v>175460</v>
      </c>
    </row>
    <row r="851" spans="1:15" x14ac:dyDescent="0.25">
      <c r="B851" s="5" t="s">
        <v>924</v>
      </c>
      <c r="C851" s="5" t="s">
        <v>2390</v>
      </c>
      <c r="D851" s="6">
        <v>30529</v>
      </c>
      <c r="E851" s="6">
        <v>5785883</v>
      </c>
      <c r="F851" s="1">
        <v>5.2764634196716389E-3</v>
      </c>
      <c r="H851" s="32">
        <f t="shared" si="13"/>
        <v>0</v>
      </c>
      <c r="I851" s="9" t="s">
        <v>939</v>
      </c>
      <c r="J851" s="9">
        <v>0</v>
      </c>
      <c r="K851" s="9">
        <v>0</v>
      </c>
      <c r="L851" s="9" t="s">
        <v>940</v>
      </c>
      <c r="M851" s="75">
        <v>0</v>
      </c>
      <c r="N851" s="78">
        <v>246250</v>
      </c>
      <c r="O851" s="81">
        <v>30529</v>
      </c>
    </row>
    <row r="852" spans="1:15" x14ac:dyDescent="0.25">
      <c r="A852" t="s">
        <v>1264</v>
      </c>
      <c r="B852" s="5" t="s">
        <v>925</v>
      </c>
      <c r="C852" s="5" t="s">
        <v>1265</v>
      </c>
      <c r="D852" s="6">
        <v>196440</v>
      </c>
      <c r="E852" s="6">
        <v>22504900</v>
      </c>
      <c r="F852" s="1">
        <v>8.7287657354620553E-3</v>
      </c>
      <c r="H852" s="32">
        <f t="shared" si="13"/>
        <v>0</v>
      </c>
      <c r="I852" s="9" t="s">
        <v>939</v>
      </c>
      <c r="J852" s="9">
        <v>0</v>
      </c>
      <c r="K852" s="9">
        <v>0</v>
      </c>
      <c r="L852" s="9" t="s">
        <v>940</v>
      </c>
      <c r="M852" s="75">
        <v>0</v>
      </c>
      <c r="N852" s="78">
        <v>10242975</v>
      </c>
      <c r="O852" s="81">
        <v>196440</v>
      </c>
    </row>
    <row r="853" spans="1:15" x14ac:dyDescent="0.25">
      <c r="B853" s="5" t="s">
        <v>926</v>
      </c>
      <c r="C853" s="5" t="s">
        <v>1519</v>
      </c>
      <c r="D853" s="6">
        <v>4451297</v>
      </c>
      <c r="E853" s="6">
        <v>892408700</v>
      </c>
      <c r="F853" s="1">
        <v>4.9879578717688432E-3</v>
      </c>
      <c r="H853" s="32">
        <f t="shared" si="13"/>
        <v>0</v>
      </c>
      <c r="I853" s="9" t="s">
        <v>939</v>
      </c>
      <c r="J853" s="9">
        <v>0</v>
      </c>
      <c r="K853" s="9">
        <v>0</v>
      </c>
      <c r="L853" s="9" t="s">
        <v>940</v>
      </c>
      <c r="M853" s="75">
        <v>0</v>
      </c>
      <c r="N853" s="78">
        <v>68926</v>
      </c>
      <c r="O853" s="81">
        <v>4451297</v>
      </c>
    </row>
    <row r="854" spans="1:15" x14ac:dyDescent="0.25">
      <c r="B854" s="5" t="s">
        <v>927</v>
      </c>
      <c r="C854" s="5" t="s">
        <v>2391</v>
      </c>
      <c r="D854" s="6">
        <v>14999</v>
      </c>
      <c r="E854" s="6">
        <v>4283737</v>
      </c>
      <c r="F854" s="1">
        <v>3.5013820876491717E-3</v>
      </c>
      <c r="H854" s="32">
        <f t="shared" si="13"/>
        <v>0</v>
      </c>
      <c r="I854" s="9" t="s">
        <v>939</v>
      </c>
      <c r="J854" s="9">
        <v>0</v>
      </c>
      <c r="K854" s="9">
        <v>0</v>
      </c>
      <c r="L854" s="9" t="s">
        <v>940</v>
      </c>
      <c r="M854" s="75">
        <v>0</v>
      </c>
      <c r="N854" s="78">
        <v>4597573</v>
      </c>
      <c r="O854" s="81">
        <v>14999</v>
      </c>
    </row>
    <row r="855" spans="1:15" x14ac:dyDescent="0.25">
      <c r="A855" t="s">
        <v>1266</v>
      </c>
      <c r="B855" s="5" t="s">
        <v>928</v>
      </c>
      <c r="C855" s="5" t="s">
        <v>1267</v>
      </c>
      <c r="D855" s="6">
        <v>1909853</v>
      </c>
      <c r="E855" s="6">
        <v>435286666</v>
      </c>
      <c r="F855" s="1">
        <v>4.3875752444941648E-3</v>
      </c>
      <c r="H855" s="32">
        <f t="shared" si="13"/>
        <v>6.6622762113278241E-3</v>
      </c>
      <c r="I855" s="9" t="s">
        <v>939</v>
      </c>
      <c r="J855" s="9">
        <v>0</v>
      </c>
      <c r="K855" s="9">
        <v>0</v>
      </c>
      <c r="L855" s="9" t="s">
        <v>940</v>
      </c>
      <c r="M855" s="75">
        <v>2900000</v>
      </c>
      <c r="N855" s="78">
        <v>96813</v>
      </c>
      <c r="O855" s="81">
        <v>1909853</v>
      </c>
    </row>
    <row r="856" spans="1:15" x14ac:dyDescent="0.25">
      <c r="B856" s="5" t="s">
        <v>929</v>
      </c>
      <c r="C856" s="5" t="s">
        <v>1678</v>
      </c>
      <c r="D856" s="6">
        <v>70903</v>
      </c>
      <c r="E856" s="6">
        <v>13913900</v>
      </c>
      <c r="F856" s="1">
        <v>5.0958394123861751E-3</v>
      </c>
      <c r="H856" s="32">
        <f t="shared" si="13"/>
        <v>8.7610231495123578E-2</v>
      </c>
      <c r="I856" s="9" t="s">
        <v>939</v>
      </c>
      <c r="J856" s="9">
        <v>0</v>
      </c>
      <c r="K856" s="9">
        <v>0</v>
      </c>
      <c r="L856" s="9" t="s">
        <v>940</v>
      </c>
      <c r="M856" s="75">
        <v>1219000</v>
      </c>
      <c r="N856" s="78">
        <v>3842107</v>
      </c>
      <c r="O856" s="81">
        <v>70903</v>
      </c>
    </row>
    <row r="857" spans="1:15" x14ac:dyDescent="0.25">
      <c r="B857" s="5" t="s">
        <v>930</v>
      </c>
      <c r="C857" s="5" t="s">
        <v>1537</v>
      </c>
      <c r="D857" s="6">
        <v>2082184</v>
      </c>
      <c r="E857" s="6">
        <v>334454600</v>
      </c>
      <c r="F857" s="1">
        <v>6.2256102920994361E-3</v>
      </c>
      <c r="H857" s="32">
        <f t="shared" si="13"/>
        <v>1.0255502540554084E-2</v>
      </c>
      <c r="I857" s="9" t="s">
        <v>942</v>
      </c>
      <c r="J857" s="9">
        <v>2</v>
      </c>
      <c r="K857" s="9">
        <v>4</v>
      </c>
      <c r="L857" s="9" t="s">
        <v>938</v>
      </c>
      <c r="M857" s="75">
        <v>3430000</v>
      </c>
      <c r="O857" s="81">
        <v>2082184</v>
      </c>
    </row>
  </sheetData>
  <sheetProtection sheet="1" objects="1" scenarios="1"/>
  <mergeCells count="10">
    <mergeCell ref="Q18:Q20"/>
    <mergeCell ref="R18:R20"/>
    <mergeCell ref="Q21:Q23"/>
    <mergeCell ref="R21:R23"/>
    <mergeCell ref="Q9:Q11"/>
    <mergeCell ref="R9:R11"/>
    <mergeCell ref="Q12:Q14"/>
    <mergeCell ref="R12:R14"/>
    <mergeCell ref="Q15:Q17"/>
    <mergeCell ref="R15:R17"/>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DB3ED-1F4C-477B-8722-97BA7978955A}">
  <sheetPr codeName="Sheet9"/>
  <dimension ref="A1:W736"/>
  <sheetViews>
    <sheetView zoomScale="80" zoomScaleNormal="80" workbookViewId="0">
      <pane ySplit="1" topLeftCell="A700" activePane="bottomLeft" state="frozen"/>
      <selection activeCell="F32" sqref="F32"/>
      <selection pane="bottomLeft" activeCell="F32" sqref="F32"/>
    </sheetView>
  </sheetViews>
  <sheetFormatPr defaultColWidth="9.140625" defaultRowHeight="15" x14ac:dyDescent="0.25"/>
  <cols>
    <col min="1" max="1" width="10.28515625" style="40" bestFit="1" customWidth="1"/>
    <col min="2" max="2" width="32" style="40" customWidth="1"/>
    <col min="3" max="3" width="18.140625" style="103" customWidth="1"/>
    <col min="4" max="4" width="19.7109375" style="43" customWidth="1"/>
    <col min="5" max="5" width="22" style="40" customWidth="1"/>
    <col min="6" max="14" width="22" style="43" customWidth="1"/>
    <col min="15" max="15" width="19" style="81" customWidth="1"/>
    <col min="16" max="16" width="16.85546875" style="81" customWidth="1"/>
    <col min="17" max="18" width="9.140625" style="40" customWidth="1"/>
    <col min="19" max="19" width="9.140625" style="40"/>
    <col min="20" max="20" width="8.85546875"/>
    <col min="21" max="21" width="60.85546875" customWidth="1"/>
    <col min="22" max="22" width="24" style="103" bestFit="1" customWidth="1"/>
    <col min="23" max="23" width="9.140625" style="103"/>
    <col min="24" max="16384" width="9.140625" style="40"/>
  </cols>
  <sheetData>
    <row r="1" spans="1:23" ht="45" x14ac:dyDescent="0.25">
      <c r="A1" s="64" t="s">
        <v>1446</v>
      </c>
      <c r="B1" s="64" t="s">
        <v>69</v>
      </c>
      <c r="C1" s="110" t="s">
        <v>2194</v>
      </c>
      <c r="D1" s="67" t="s">
        <v>2193</v>
      </c>
      <c r="E1" s="65" t="s">
        <v>2038</v>
      </c>
      <c r="F1" s="71" t="s">
        <v>2041</v>
      </c>
      <c r="G1" s="71" t="s">
        <v>2042</v>
      </c>
      <c r="H1" s="71" t="s">
        <v>2043</v>
      </c>
      <c r="I1" s="71" t="s">
        <v>2044</v>
      </c>
      <c r="J1" s="71" t="s">
        <v>2045</v>
      </c>
      <c r="K1" s="71" t="s">
        <v>2208</v>
      </c>
      <c r="L1" s="71" t="s">
        <v>2046</v>
      </c>
      <c r="M1" s="71" t="s">
        <v>2047</v>
      </c>
      <c r="N1" s="71" t="s">
        <v>2048</v>
      </c>
      <c r="O1" s="84" t="s">
        <v>2039</v>
      </c>
      <c r="P1" s="84" t="s">
        <v>2040</v>
      </c>
      <c r="Q1" s="17"/>
      <c r="V1" s="102" t="s">
        <v>2195</v>
      </c>
      <c r="W1" s="101" t="s">
        <v>969</v>
      </c>
    </row>
    <row r="2" spans="1:23" ht="30" x14ac:dyDescent="0.25">
      <c r="A2" s="40">
        <v>1010001</v>
      </c>
      <c r="B2" s="40" t="s">
        <v>1813</v>
      </c>
      <c r="C2" s="68">
        <v>2168</v>
      </c>
      <c r="D2" s="112">
        <v>1224</v>
      </c>
      <c r="E2" s="40">
        <v>300000</v>
      </c>
      <c r="K2" s="43">
        <v>0</v>
      </c>
      <c r="L2" s="43">
        <f t="shared" ref="L2:L65" si="0">E2*8</f>
        <v>2400000</v>
      </c>
      <c r="M2" s="153">
        <f>-PMT('Interface - Substantial impacts'!$I$42,'Interface - Substantial impacts'!$I$40,'DW Facility data'!L2)</f>
        <v>186908.61653833828</v>
      </c>
      <c r="N2" s="43">
        <f>L2*0.0704</f>
        <v>168960</v>
      </c>
      <c r="O2" s="85">
        <v>235109</v>
      </c>
      <c r="P2" s="81">
        <v>0</v>
      </c>
      <c r="Q2" s="17"/>
      <c r="U2" s="111" t="s">
        <v>2207</v>
      </c>
      <c r="V2" s="103" t="s">
        <v>1614</v>
      </c>
      <c r="W2" s="68">
        <v>1740</v>
      </c>
    </row>
    <row r="3" spans="1:23" x14ac:dyDescent="0.25">
      <c r="A3" s="40">
        <v>1010011</v>
      </c>
      <c r="B3" s="40" t="s">
        <v>1628</v>
      </c>
      <c r="C3" s="68">
        <v>613</v>
      </c>
      <c r="D3" s="111">
        <v>487</v>
      </c>
      <c r="E3" s="40">
        <v>65000</v>
      </c>
      <c r="K3" s="108">
        <v>0</v>
      </c>
      <c r="L3" s="66">
        <f t="shared" si="0"/>
        <v>520000</v>
      </c>
      <c r="M3" s="153">
        <f>-PMT('Interface - Substantial impacts'!$I$42,'Interface - Substantial impacts'!$I$40,'DW Facility data'!L3)</f>
        <v>40496.866916639963</v>
      </c>
      <c r="N3" s="169">
        <f t="shared" ref="N3:N66" si="1">L3*0.0704</f>
        <v>36608</v>
      </c>
      <c r="O3" s="85">
        <v>107483</v>
      </c>
      <c r="P3" s="81">
        <v>0</v>
      </c>
      <c r="Q3" s="17"/>
      <c r="V3" s="103" t="s">
        <v>971</v>
      </c>
      <c r="W3" s="68">
        <v>683</v>
      </c>
    </row>
    <row r="4" spans="1:23" x14ac:dyDescent="0.25">
      <c r="A4" s="40">
        <v>1010013</v>
      </c>
      <c r="B4" s="40" t="s">
        <v>1673</v>
      </c>
      <c r="C4" s="68">
        <v>162</v>
      </c>
      <c r="D4" s="111">
        <v>116</v>
      </c>
      <c r="E4" s="40">
        <v>30000</v>
      </c>
      <c r="K4" s="108">
        <v>0</v>
      </c>
      <c r="L4" s="66">
        <f t="shared" si="0"/>
        <v>240000</v>
      </c>
      <c r="M4" s="153">
        <f>-PMT('Interface - Substantial impacts'!$I$42,'Interface - Substantial impacts'!$I$40,'DW Facility data'!L4)</f>
        <v>18690.861653833828</v>
      </c>
      <c r="N4" s="169">
        <f t="shared" si="1"/>
        <v>16896</v>
      </c>
      <c r="O4" s="85">
        <v>82409</v>
      </c>
      <c r="P4" s="81">
        <v>0</v>
      </c>
      <c r="Q4" s="17"/>
      <c r="V4" s="103" t="s">
        <v>973</v>
      </c>
      <c r="W4" s="68">
        <v>1194</v>
      </c>
    </row>
    <row r="5" spans="1:23" x14ac:dyDescent="0.25">
      <c r="A5" s="40">
        <v>1010016</v>
      </c>
      <c r="B5" s="40" t="s">
        <v>1721</v>
      </c>
      <c r="C5" s="68">
        <v>384</v>
      </c>
      <c r="D5" s="111">
        <v>211</v>
      </c>
      <c r="E5" s="40">
        <v>65000</v>
      </c>
      <c r="K5" s="108">
        <v>0</v>
      </c>
      <c r="L5" s="66">
        <f t="shared" si="0"/>
        <v>520000</v>
      </c>
      <c r="M5" s="153">
        <f>-PMT('Interface - Substantial impacts'!$I$42,'Interface - Substantial impacts'!$I$40,'DW Facility data'!L5)</f>
        <v>40496.866916639963</v>
      </c>
      <c r="N5" s="169">
        <f t="shared" si="1"/>
        <v>36608</v>
      </c>
      <c r="O5" s="85">
        <v>100488</v>
      </c>
      <c r="P5" s="81">
        <v>77663</v>
      </c>
      <c r="V5" s="103" t="s">
        <v>1813</v>
      </c>
      <c r="W5" s="68">
        <v>2168</v>
      </c>
    </row>
    <row r="6" spans="1:23" x14ac:dyDescent="0.25">
      <c r="A6" s="40">
        <v>1020001</v>
      </c>
      <c r="B6" s="40" t="s">
        <v>1626</v>
      </c>
      <c r="C6" s="68">
        <v>17921</v>
      </c>
      <c r="D6" s="112">
        <v>7328</v>
      </c>
      <c r="E6" s="40">
        <v>5100000</v>
      </c>
      <c r="K6" s="108">
        <v>0</v>
      </c>
      <c r="L6" s="66">
        <f t="shared" si="0"/>
        <v>40800000</v>
      </c>
      <c r="M6" s="153">
        <f>-PMT('Interface - Substantial impacts'!$I$42,'Interface - Substantial impacts'!$I$40,'DW Facility data'!L6)</f>
        <v>3177446.4811517508</v>
      </c>
      <c r="N6" s="169">
        <f t="shared" si="1"/>
        <v>2872320</v>
      </c>
      <c r="O6" s="85">
        <v>1517011</v>
      </c>
      <c r="P6" s="81">
        <v>13894</v>
      </c>
      <c r="V6" s="103" t="s">
        <v>1761</v>
      </c>
      <c r="W6" s="68">
        <v>404</v>
      </c>
    </row>
    <row r="7" spans="1:23" x14ac:dyDescent="0.25">
      <c r="A7" s="40">
        <v>1020006</v>
      </c>
      <c r="B7" s="40" t="s">
        <v>1651</v>
      </c>
      <c r="C7" s="68">
        <v>70222</v>
      </c>
      <c r="D7" s="112">
        <v>24091</v>
      </c>
      <c r="E7" s="40">
        <v>12459000</v>
      </c>
      <c r="K7" s="108">
        <v>0</v>
      </c>
      <c r="L7" s="66">
        <f t="shared" si="0"/>
        <v>99672000</v>
      </c>
      <c r="M7" s="153">
        <f>-PMT('Interface - Substantial impacts'!$I$42,'Interface - Substantial impacts'!$I$40,'DW Facility data'!L7)</f>
        <v>7762314.8448371887</v>
      </c>
      <c r="N7" s="169">
        <f t="shared" si="1"/>
        <v>7016908.8000000007</v>
      </c>
      <c r="O7" s="85">
        <v>4803779</v>
      </c>
      <c r="P7" s="81">
        <v>1614010</v>
      </c>
      <c r="V7" s="103" t="s">
        <v>1877</v>
      </c>
      <c r="W7" s="68">
        <v>2780</v>
      </c>
    </row>
    <row r="8" spans="1:23" x14ac:dyDescent="0.25">
      <c r="A8" s="40">
        <v>1020013</v>
      </c>
      <c r="B8" s="40" t="s">
        <v>1637</v>
      </c>
      <c r="C8" s="68">
        <v>5025</v>
      </c>
      <c r="D8" s="112">
        <v>1978</v>
      </c>
      <c r="E8" s="40">
        <v>1128000</v>
      </c>
      <c r="K8" s="108">
        <v>0</v>
      </c>
      <c r="L8" s="66">
        <f t="shared" si="0"/>
        <v>9024000</v>
      </c>
      <c r="M8" s="153">
        <f>-PMT('Interface - Substantial impacts'!$I$42,'Interface - Substantial impacts'!$I$40,'DW Facility data'!L8)</f>
        <v>702776.39818415197</v>
      </c>
      <c r="N8" s="169">
        <f t="shared" si="1"/>
        <v>635289.60000000009</v>
      </c>
      <c r="O8" s="85">
        <v>482885</v>
      </c>
      <c r="P8" s="81">
        <v>628727</v>
      </c>
      <c r="V8" s="103" t="s">
        <v>975</v>
      </c>
      <c r="W8" s="68">
        <v>18492</v>
      </c>
    </row>
    <row r="9" spans="1:23" x14ac:dyDescent="0.25">
      <c r="A9" s="40">
        <v>1020016</v>
      </c>
      <c r="B9" s="40" t="s">
        <v>2027</v>
      </c>
      <c r="C9" s="68">
        <v>21973</v>
      </c>
      <c r="D9" s="112">
        <v>8625</v>
      </c>
      <c r="E9" s="40">
        <v>2100000</v>
      </c>
      <c r="K9" s="108">
        <v>0</v>
      </c>
      <c r="L9" s="66">
        <f t="shared" si="0"/>
        <v>16800000</v>
      </c>
      <c r="M9" s="153">
        <f>-PMT('Interface - Substantial impacts'!$I$42,'Interface - Substantial impacts'!$I$40,'DW Facility data'!L9)</f>
        <v>1308360.3157683681</v>
      </c>
      <c r="N9" s="169">
        <f t="shared" si="1"/>
        <v>1182720</v>
      </c>
      <c r="O9" s="85">
        <v>2902532</v>
      </c>
      <c r="P9" s="81">
        <v>87932</v>
      </c>
      <c r="V9" s="103" t="s">
        <v>2010</v>
      </c>
      <c r="W9" s="68">
        <v>94</v>
      </c>
    </row>
    <row r="10" spans="1:23" x14ac:dyDescent="0.25">
      <c r="A10" s="40">
        <v>1020017</v>
      </c>
      <c r="B10" s="40" t="s">
        <v>1447</v>
      </c>
      <c r="C10" s="68">
        <v>63599</v>
      </c>
      <c r="D10" s="112">
        <v>24601</v>
      </c>
      <c r="E10" s="40">
        <v>18000000</v>
      </c>
      <c r="K10" s="108">
        <v>0</v>
      </c>
      <c r="L10" s="66">
        <f t="shared" si="0"/>
        <v>144000000</v>
      </c>
      <c r="M10" s="153">
        <f>-PMT('Interface - Substantial impacts'!$I$42,'Interface - Substantial impacts'!$I$40,'DW Facility data'!L10)</f>
        <v>11214516.992300298</v>
      </c>
      <c r="N10" s="169">
        <f t="shared" si="1"/>
        <v>10137600</v>
      </c>
      <c r="O10" s="85">
        <v>5608784</v>
      </c>
      <c r="P10" s="81">
        <v>2344209</v>
      </c>
      <c r="V10" s="103" t="s">
        <v>1925</v>
      </c>
      <c r="W10" s="68">
        <v>583</v>
      </c>
    </row>
    <row r="11" spans="1:23" x14ac:dyDescent="0.25">
      <c r="A11" s="40">
        <v>1020023</v>
      </c>
      <c r="B11" s="40" t="s">
        <v>1652</v>
      </c>
      <c r="C11" s="68">
        <v>21399</v>
      </c>
      <c r="D11" s="112">
        <v>7384</v>
      </c>
      <c r="E11" s="40">
        <v>3932000</v>
      </c>
      <c r="F11" s="43">
        <v>19776000</v>
      </c>
      <c r="K11" s="108">
        <v>19776000</v>
      </c>
      <c r="L11" s="66">
        <f t="shared" si="0"/>
        <v>31456000</v>
      </c>
      <c r="M11" s="153">
        <f>-PMT('Interface - Substantial impacts'!$I$42,'Interface - Substantial impacts'!$I$40,'DW Facility data'!L11)</f>
        <v>2449748.9340958204</v>
      </c>
      <c r="N11" s="169">
        <f t="shared" si="1"/>
        <v>2214502.3999999999</v>
      </c>
      <c r="O11" s="85">
        <v>1532282</v>
      </c>
      <c r="P11" s="81">
        <v>0</v>
      </c>
      <c r="V11" s="103" t="s">
        <v>979</v>
      </c>
      <c r="W11" s="68">
        <v>14335</v>
      </c>
    </row>
    <row r="12" spans="1:23" x14ac:dyDescent="0.25">
      <c r="A12" s="40">
        <v>1020028</v>
      </c>
      <c r="B12" s="40" t="s">
        <v>1845</v>
      </c>
      <c r="C12" s="68">
        <v>8142</v>
      </c>
      <c r="D12" s="112">
        <v>2674</v>
      </c>
      <c r="E12" s="40">
        <v>1400000</v>
      </c>
      <c r="K12" s="108">
        <v>0</v>
      </c>
      <c r="L12" s="66">
        <f t="shared" si="0"/>
        <v>11200000</v>
      </c>
      <c r="M12" s="153">
        <f>-PMT('Interface - Substantial impacts'!$I$42,'Interface - Substantial impacts'!$I$40,'DW Facility data'!L12)</f>
        <v>872240.21051224542</v>
      </c>
      <c r="N12" s="169">
        <f t="shared" si="1"/>
        <v>788480</v>
      </c>
      <c r="O12" s="85">
        <v>990543</v>
      </c>
      <c r="P12" s="81">
        <v>881489</v>
      </c>
      <c r="V12" s="103" t="s">
        <v>1661</v>
      </c>
      <c r="W12" s="68">
        <v>97</v>
      </c>
    </row>
    <row r="13" spans="1:23" x14ac:dyDescent="0.25">
      <c r="A13" s="40">
        <v>1020029</v>
      </c>
      <c r="B13" s="40" t="s">
        <v>1843</v>
      </c>
      <c r="C13" s="68">
        <v>7188</v>
      </c>
      <c r="D13" s="112">
        <v>2756</v>
      </c>
      <c r="E13" s="40">
        <v>2000000</v>
      </c>
      <c r="F13" s="66"/>
      <c r="K13" s="108">
        <v>0</v>
      </c>
      <c r="L13" s="66">
        <f t="shared" si="0"/>
        <v>16000000</v>
      </c>
      <c r="M13" s="153">
        <f>-PMT('Interface - Substantial impacts'!$I$42,'Interface - Substantial impacts'!$I$40,'DW Facility data'!L13)</f>
        <v>1246057.443588922</v>
      </c>
      <c r="N13" s="169">
        <f t="shared" si="1"/>
        <v>1126400</v>
      </c>
      <c r="O13" s="85">
        <v>814349</v>
      </c>
      <c r="P13" s="81">
        <v>249356</v>
      </c>
      <c r="V13" s="103" t="s">
        <v>981</v>
      </c>
      <c r="W13" s="68">
        <v>471</v>
      </c>
    </row>
    <row r="14" spans="1:23" x14ac:dyDescent="0.25">
      <c r="A14" s="40">
        <v>1020031</v>
      </c>
      <c r="B14" s="40" t="s">
        <v>1448</v>
      </c>
      <c r="C14" s="68">
        <v>29590</v>
      </c>
      <c r="D14" s="112">
        <v>11175</v>
      </c>
      <c r="E14" s="40">
        <v>7345000</v>
      </c>
      <c r="F14" s="66"/>
      <c r="K14" s="108">
        <v>0</v>
      </c>
      <c r="L14" s="66">
        <f t="shared" si="0"/>
        <v>58760000</v>
      </c>
      <c r="M14" s="153">
        <f>-PMT('Interface - Substantial impacts'!$I$42,'Interface - Substantial impacts'!$I$40,'DW Facility data'!L14)</f>
        <v>4576145.9615803156</v>
      </c>
      <c r="N14" s="169">
        <f t="shared" si="1"/>
        <v>4136704.0000000005</v>
      </c>
      <c r="O14" s="85">
        <v>2965071</v>
      </c>
      <c r="P14" s="81">
        <v>1075288</v>
      </c>
      <c r="V14" s="103" t="s">
        <v>983</v>
      </c>
      <c r="W14" s="68">
        <v>388</v>
      </c>
    </row>
    <row r="15" spans="1:23" x14ac:dyDescent="0.25">
      <c r="A15" s="40">
        <v>1020032</v>
      </c>
      <c r="B15" s="40" t="s">
        <v>1812</v>
      </c>
      <c r="C15" s="68">
        <v>2248</v>
      </c>
      <c r="D15" s="111">
        <v>945</v>
      </c>
      <c r="E15" s="40">
        <v>1475000</v>
      </c>
      <c r="F15" s="66"/>
      <c r="K15" s="108">
        <v>0</v>
      </c>
      <c r="L15" s="66">
        <f t="shared" si="0"/>
        <v>11800000</v>
      </c>
      <c r="M15" s="153">
        <f>-PMT('Interface - Substantial impacts'!$I$42,'Interface - Substantial impacts'!$I$40,'DW Facility data'!L15)</f>
        <v>918967.3646468299</v>
      </c>
      <c r="N15" s="169">
        <f t="shared" si="1"/>
        <v>830720</v>
      </c>
      <c r="O15" s="85">
        <v>172875</v>
      </c>
      <c r="P15" s="81">
        <v>31202</v>
      </c>
      <c r="V15" s="103" t="s">
        <v>985</v>
      </c>
      <c r="W15" s="68">
        <v>535</v>
      </c>
    </row>
    <row r="16" spans="1:23" x14ac:dyDescent="0.25">
      <c r="A16" s="40">
        <v>1020033</v>
      </c>
      <c r="B16" s="40" t="s">
        <v>1949</v>
      </c>
      <c r="C16" s="68">
        <v>958</v>
      </c>
      <c r="D16" s="111">
        <v>439</v>
      </c>
      <c r="E16" s="40">
        <v>110000</v>
      </c>
      <c r="F16" s="66"/>
      <c r="K16" s="108">
        <v>0</v>
      </c>
      <c r="L16" s="66">
        <f t="shared" si="0"/>
        <v>880000</v>
      </c>
      <c r="M16" s="153">
        <f>-PMT('Interface - Substantial impacts'!$I$42,'Interface - Substantial impacts'!$I$40,'DW Facility data'!L16)</f>
        <v>68533.159397390715</v>
      </c>
      <c r="N16" s="169">
        <f t="shared" si="1"/>
        <v>61952.000000000007</v>
      </c>
      <c r="O16" s="85">
        <v>272892</v>
      </c>
      <c r="P16" s="81">
        <v>0</v>
      </c>
      <c r="V16" s="103" t="s">
        <v>1834</v>
      </c>
      <c r="W16" s="68">
        <v>32601</v>
      </c>
    </row>
    <row r="17" spans="1:23" x14ac:dyDescent="0.25">
      <c r="A17" s="40">
        <v>1020034</v>
      </c>
      <c r="B17" s="40" t="s">
        <v>1834</v>
      </c>
      <c r="C17" s="68">
        <v>32601</v>
      </c>
      <c r="D17" s="112">
        <v>11014</v>
      </c>
      <c r="E17" s="40">
        <v>9110000</v>
      </c>
      <c r="F17" s="66"/>
      <c r="K17" s="108">
        <v>0</v>
      </c>
      <c r="L17" s="66">
        <f t="shared" si="0"/>
        <v>72880000</v>
      </c>
      <c r="M17" s="153">
        <f>-PMT('Interface - Substantial impacts'!$I$42,'Interface - Substantial impacts'!$I$40,'DW Facility data'!L17)</f>
        <v>5675791.6555475388</v>
      </c>
      <c r="N17" s="169">
        <f t="shared" si="1"/>
        <v>5130752</v>
      </c>
      <c r="O17" s="85">
        <v>2417489</v>
      </c>
      <c r="P17" s="81">
        <v>766594</v>
      </c>
      <c r="V17" s="103" t="s">
        <v>1884</v>
      </c>
      <c r="W17" s="68">
        <v>3330</v>
      </c>
    </row>
    <row r="18" spans="1:23" x14ac:dyDescent="0.25">
      <c r="A18" s="40">
        <v>1020035</v>
      </c>
      <c r="B18" s="40" t="s">
        <v>1634</v>
      </c>
      <c r="C18" s="68">
        <v>27646</v>
      </c>
      <c r="D18" s="112">
        <v>9866</v>
      </c>
      <c r="E18" s="40">
        <v>6300000</v>
      </c>
      <c r="F18" s="66"/>
      <c r="K18" s="108">
        <v>0</v>
      </c>
      <c r="L18" s="66">
        <f t="shared" si="0"/>
        <v>50400000</v>
      </c>
      <c r="M18" s="153">
        <f>-PMT('Interface - Substantial impacts'!$I$42,'Interface - Substantial impacts'!$I$40,'DW Facility data'!L18)</f>
        <v>3925080.9473051038</v>
      </c>
      <c r="N18" s="169">
        <f t="shared" si="1"/>
        <v>3548160</v>
      </c>
      <c r="O18" s="85">
        <v>1657356</v>
      </c>
      <c r="P18" s="81">
        <v>0</v>
      </c>
      <c r="V18" s="103" t="s">
        <v>1626</v>
      </c>
      <c r="W18" s="68">
        <v>17921</v>
      </c>
    </row>
    <row r="19" spans="1:23" x14ac:dyDescent="0.25">
      <c r="A19" s="40">
        <v>1020036</v>
      </c>
      <c r="B19" s="40" t="s">
        <v>1748</v>
      </c>
      <c r="C19" s="68">
        <v>3896</v>
      </c>
      <c r="D19" s="112">
        <v>1450</v>
      </c>
      <c r="E19" s="40">
        <v>947000</v>
      </c>
      <c r="F19" s="66"/>
      <c r="K19" s="108">
        <v>0</v>
      </c>
      <c r="L19" s="66">
        <f t="shared" si="0"/>
        <v>7576000</v>
      </c>
      <c r="M19" s="153">
        <f>-PMT('Interface - Substantial impacts'!$I$42,'Interface - Substantial impacts'!$I$40,'DW Facility data'!L19)</f>
        <v>590008.19953935454</v>
      </c>
      <c r="N19" s="169">
        <f t="shared" si="1"/>
        <v>533350.40000000002</v>
      </c>
      <c r="O19" s="85">
        <v>383563</v>
      </c>
      <c r="P19" s="81">
        <v>0</v>
      </c>
      <c r="V19" s="103" t="s">
        <v>1450</v>
      </c>
      <c r="W19" s="68">
        <v>56374</v>
      </c>
    </row>
    <row r="20" spans="1:23" x14ac:dyDescent="0.25">
      <c r="A20" s="40">
        <v>1020042</v>
      </c>
      <c r="B20" s="40" t="s">
        <v>1887</v>
      </c>
      <c r="C20" s="68">
        <v>11786</v>
      </c>
      <c r="D20" s="112">
        <v>4640</v>
      </c>
      <c r="E20" s="40">
        <v>136000</v>
      </c>
      <c r="F20" s="66"/>
      <c r="K20" s="108">
        <v>0</v>
      </c>
      <c r="L20" s="66">
        <f t="shared" si="0"/>
        <v>1088000</v>
      </c>
      <c r="M20" s="153">
        <f>-PMT('Interface - Substantial impacts'!$I$42,'Interface - Substantial impacts'!$I$40,'DW Facility data'!L20)</f>
        <v>84731.906164046683</v>
      </c>
      <c r="N20" s="169">
        <f t="shared" si="1"/>
        <v>76595.200000000012</v>
      </c>
      <c r="O20" s="85">
        <v>386315</v>
      </c>
      <c r="P20" s="81">
        <v>0</v>
      </c>
      <c r="V20" s="103" t="s">
        <v>987</v>
      </c>
      <c r="W20" s="68">
        <v>1392</v>
      </c>
    </row>
    <row r="21" spans="1:23" x14ac:dyDescent="0.25">
      <c r="A21" s="40">
        <v>1020043</v>
      </c>
      <c r="B21" s="40" t="s">
        <v>70</v>
      </c>
      <c r="C21" s="68">
        <v>4159</v>
      </c>
      <c r="D21" s="112">
        <v>1601</v>
      </c>
      <c r="E21" s="40">
        <v>90000</v>
      </c>
      <c r="F21" s="66"/>
      <c r="K21" s="108">
        <v>0</v>
      </c>
      <c r="L21" s="66">
        <f t="shared" si="0"/>
        <v>720000</v>
      </c>
      <c r="M21" s="153">
        <f>-PMT('Interface - Substantial impacts'!$I$42,'Interface - Substantial impacts'!$I$40,'DW Facility data'!L21)</f>
        <v>56072.584961501489</v>
      </c>
      <c r="N21" s="169">
        <f t="shared" si="1"/>
        <v>50688</v>
      </c>
      <c r="O21" s="85">
        <v>190281</v>
      </c>
      <c r="P21" s="81">
        <v>0</v>
      </c>
      <c r="V21" s="103" t="s">
        <v>1979</v>
      </c>
      <c r="W21" s="68">
        <v>87</v>
      </c>
    </row>
    <row r="22" spans="1:23" x14ac:dyDescent="0.25">
      <c r="A22" s="40">
        <v>1020044</v>
      </c>
      <c r="B22" s="40" t="s">
        <v>1894</v>
      </c>
      <c r="C22" s="68">
        <v>8929</v>
      </c>
      <c r="D22" s="112">
        <v>3078</v>
      </c>
      <c r="E22" s="40">
        <v>180000</v>
      </c>
      <c r="F22" s="66"/>
      <c r="K22" s="108">
        <v>0</v>
      </c>
      <c r="L22" s="66">
        <f t="shared" si="0"/>
        <v>1440000</v>
      </c>
      <c r="M22" s="153">
        <f>-PMT('Interface - Substantial impacts'!$I$42,'Interface - Substantial impacts'!$I$40,'DW Facility data'!L22)</f>
        <v>112145.16992300298</v>
      </c>
      <c r="N22" s="169">
        <f t="shared" si="1"/>
        <v>101376</v>
      </c>
      <c r="O22" s="85">
        <v>234109</v>
      </c>
      <c r="P22" s="81">
        <v>28165</v>
      </c>
      <c r="V22" s="103" t="s">
        <v>2033</v>
      </c>
      <c r="W22" s="68">
        <v>9939</v>
      </c>
    </row>
    <row r="23" spans="1:23" x14ac:dyDescent="0.25">
      <c r="A23" s="40">
        <v>1030001</v>
      </c>
      <c r="B23" s="40" t="s">
        <v>1478</v>
      </c>
      <c r="C23" s="68">
        <v>560</v>
      </c>
      <c r="D23" s="111">
        <v>290</v>
      </c>
      <c r="E23" s="40">
        <v>150000</v>
      </c>
      <c r="F23" s="66"/>
      <c r="K23" s="108">
        <v>0</v>
      </c>
      <c r="L23" s="66">
        <f t="shared" si="0"/>
        <v>1200000</v>
      </c>
      <c r="M23" s="153">
        <f>-PMT('Interface - Substantial impacts'!$I$42,'Interface - Substantial impacts'!$I$40,'DW Facility data'!L23)</f>
        <v>93454.308269169138</v>
      </c>
      <c r="N23" s="169">
        <f t="shared" si="1"/>
        <v>84480</v>
      </c>
      <c r="O23" s="85">
        <v>135588</v>
      </c>
      <c r="P23" s="81">
        <v>80440</v>
      </c>
      <c r="V23" s="103" t="s">
        <v>1767</v>
      </c>
      <c r="W23" s="68">
        <v>544</v>
      </c>
    </row>
    <row r="24" spans="1:23" x14ac:dyDescent="0.25">
      <c r="A24" s="40">
        <v>1030004</v>
      </c>
      <c r="B24" s="40" t="s">
        <v>1851</v>
      </c>
      <c r="C24" s="68">
        <v>178</v>
      </c>
      <c r="D24" s="111">
        <v>104</v>
      </c>
      <c r="E24" s="40">
        <v>80000</v>
      </c>
      <c r="F24" s="66"/>
      <c r="K24" s="108">
        <v>0</v>
      </c>
      <c r="L24" s="66">
        <f t="shared" si="0"/>
        <v>640000</v>
      </c>
      <c r="M24" s="153">
        <f>-PMT('Interface - Substantial impacts'!$I$42,'Interface - Substantial impacts'!$I$40,'DW Facility data'!L24)</f>
        <v>49842.297743556883</v>
      </c>
      <c r="N24" s="169">
        <f t="shared" si="1"/>
        <v>45056</v>
      </c>
      <c r="O24" s="85">
        <v>93737</v>
      </c>
      <c r="P24" s="81">
        <v>0</v>
      </c>
      <c r="V24" s="103" t="s">
        <v>989</v>
      </c>
      <c r="W24" s="68">
        <v>2247</v>
      </c>
    </row>
    <row r="25" spans="1:23" x14ac:dyDescent="0.25">
      <c r="A25" s="40">
        <v>1030005</v>
      </c>
      <c r="B25" s="40" t="s">
        <v>1033</v>
      </c>
      <c r="C25" s="68">
        <v>9869</v>
      </c>
      <c r="D25" s="112">
        <v>4756</v>
      </c>
      <c r="E25" s="40">
        <v>2250000</v>
      </c>
      <c r="F25" s="66"/>
      <c r="K25" s="108">
        <v>0</v>
      </c>
      <c r="L25" s="66">
        <f t="shared" si="0"/>
        <v>18000000</v>
      </c>
      <c r="M25" s="153">
        <f>-PMT('Interface - Substantial impacts'!$I$42,'Interface - Substantial impacts'!$I$40,'DW Facility data'!L25)</f>
        <v>1401814.6240375373</v>
      </c>
      <c r="N25" s="169">
        <f t="shared" si="1"/>
        <v>1267200</v>
      </c>
      <c r="O25" s="85">
        <v>2433098</v>
      </c>
      <c r="P25" s="81">
        <v>329852</v>
      </c>
      <c r="V25" s="103" t="s">
        <v>991</v>
      </c>
      <c r="W25" s="68">
        <v>469</v>
      </c>
    </row>
    <row r="26" spans="1:23" x14ac:dyDescent="0.25">
      <c r="A26" s="40">
        <v>1030014</v>
      </c>
      <c r="B26" s="40" t="s">
        <v>1930</v>
      </c>
      <c r="C26" s="68">
        <v>1335</v>
      </c>
      <c r="D26" s="111">
        <v>664</v>
      </c>
      <c r="E26" s="40">
        <v>460000</v>
      </c>
      <c r="F26" s="66"/>
      <c r="K26" s="108">
        <v>0</v>
      </c>
      <c r="L26" s="66">
        <f t="shared" si="0"/>
        <v>3680000</v>
      </c>
      <c r="M26" s="153">
        <f>-PMT('Interface - Substantial impacts'!$I$42,'Interface - Substantial impacts'!$I$40,'DW Facility data'!L26)</f>
        <v>286593.21202545206</v>
      </c>
      <c r="N26" s="169">
        <f t="shared" si="1"/>
        <v>259072.00000000003</v>
      </c>
      <c r="O26" s="85">
        <v>183388</v>
      </c>
      <c r="P26" s="81">
        <v>31505</v>
      </c>
      <c r="V26" s="103" t="s">
        <v>1795</v>
      </c>
      <c r="W26" s="68">
        <v>331</v>
      </c>
    </row>
    <row r="27" spans="1:23" x14ac:dyDescent="0.25">
      <c r="A27" s="40">
        <v>1030016</v>
      </c>
      <c r="B27" s="40" t="s">
        <v>1469</v>
      </c>
      <c r="C27" s="68">
        <v>728</v>
      </c>
      <c r="D27" s="111">
        <v>281</v>
      </c>
      <c r="E27" s="40">
        <v>260000</v>
      </c>
      <c r="F27" s="43">
        <v>505432</v>
      </c>
      <c r="K27" s="108">
        <v>505432</v>
      </c>
      <c r="L27" s="66">
        <f t="shared" si="0"/>
        <v>2080000</v>
      </c>
      <c r="M27" s="153">
        <f>-PMT('Interface - Substantial impacts'!$I$42,'Interface - Substantial impacts'!$I$40,'DW Facility data'!L27)</f>
        <v>161987.46766655985</v>
      </c>
      <c r="N27" s="169">
        <f t="shared" si="1"/>
        <v>146432</v>
      </c>
      <c r="O27" s="85">
        <v>154229</v>
      </c>
      <c r="P27" s="81">
        <v>55957</v>
      </c>
      <c r="V27" s="103" t="s">
        <v>1707</v>
      </c>
      <c r="W27" s="68">
        <v>1124</v>
      </c>
    </row>
    <row r="28" spans="1:23" x14ac:dyDescent="0.25">
      <c r="A28" s="40">
        <v>1030025</v>
      </c>
      <c r="B28" s="40" t="s">
        <v>1943</v>
      </c>
      <c r="C28" s="68">
        <v>208</v>
      </c>
      <c r="D28" s="111">
        <v>83</v>
      </c>
      <c r="E28" s="40">
        <v>100000</v>
      </c>
      <c r="K28" s="108">
        <v>0</v>
      </c>
      <c r="L28" s="66">
        <f t="shared" si="0"/>
        <v>800000</v>
      </c>
      <c r="M28" s="153">
        <f>-PMT('Interface - Substantial impacts'!$I$42,'Interface - Substantial impacts'!$I$40,'DW Facility data'!L28)</f>
        <v>62302.872179446102</v>
      </c>
      <c r="N28" s="169">
        <f t="shared" si="1"/>
        <v>56320</v>
      </c>
      <c r="O28" s="85">
        <v>27582</v>
      </c>
      <c r="P28" s="81">
        <v>0</v>
      </c>
      <c r="V28" s="103" t="s">
        <v>1478</v>
      </c>
      <c r="W28" s="68">
        <v>560</v>
      </c>
    </row>
    <row r="29" spans="1:23" x14ac:dyDescent="0.25">
      <c r="A29" s="40">
        <v>1040002</v>
      </c>
      <c r="B29" s="40" t="s">
        <v>1756</v>
      </c>
      <c r="C29" s="68">
        <v>14574</v>
      </c>
      <c r="D29" s="112">
        <v>6714</v>
      </c>
      <c r="E29" s="40">
        <v>2500000</v>
      </c>
      <c r="F29" s="43">
        <v>16000000</v>
      </c>
      <c r="K29" s="108">
        <v>16000000</v>
      </c>
      <c r="L29" s="66">
        <f t="shared" si="0"/>
        <v>20000000</v>
      </c>
      <c r="M29" s="153">
        <f>-PMT('Interface - Substantial impacts'!$I$42,'Interface - Substantial impacts'!$I$40,'DW Facility data'!L29)</f>
        <v>1557571.8044861525</v>
      </c>
      <c r="N29" s="169">
        <f t="shared" si="1"/>
        <v>1408000</v>
      </c>
      <c r="O29" s="85">
        <v>1161423</v>
      </c>
      <c r="P29" s="81">
        <v>2008563</v>
      </c>
      <c r="V29" s="103" t="s">
        <v>993</v>
      </c>
      <c r="W29" s="68">
        <v>1678</v>
      </c>
    </row>
    <row r="30" spans="1:23" x14ac:dyDescent="0.25">
      <c r="A30" s="40">
        <v>1040014</v>
      </c>
      <c r="B30" s="40" t="s">
        <v>1645</v>
      </c>
      <c r="C30" s="68">
        <v>845</v>
      </c>
      <c r="D30" s="111">
        <v>354</v>
      </c>
      <c r="E30" s="40">
        <v>100000</v>
      </c>
      <c r="K30" s="108">
        <v>0</v>
      </c>
      <c r="L30" s="66">
        <f t="shared" si="0"/>
        <v>800000</v>
      </c>
      <c r="M30" s="153">
        <f>-PMT('Interface - Substantial impacts'!$I$42,'Interface - Substantial impacts'!$I$40,'DW Facility data'!L30)</f>
        <v>62302.872179446102</v>
      </c>
      <c r="N30" s="169">
        <f t="shared" si="1"/>
        <v>56320</v>
      </c>
      <c r="O30" s="85">
        <v>247689</v>
      </c>
      <c r="P30" s="81">
        <v>71371</v>
      </c>
      <c r="V30" s="103" t="s">
        <v>995</v>
      </c>
      <c r="W30" s="68">
        <v>26174</v>
      </c>
    </row>
    <row r="31" spans="1:23" x14ac:dyDescent="0.25">
      <c r="A31" s="40">
        <v>1040017</v>
      </c>
      <c r="B31" s="40" t="s">
        <v>1757</v>
      </c>
      <c r="C31" s="68">
        <v>258</v>
      </c>
      <c r="D31" s="111">
        <v>170</v>
      </c>
      <c r="E31" s="40">
        <v>45000</v>
      </c>
      <c r="K31" s="108">
        <v>0</v>
      </c>
      <c r="L31" s="66">
        <f t="shared" si="0"/>
        <v>360000</v>
      </c>
      <c r="M31" s="153">
        <f>-PMT('Interface - Substantial impacts'!$I$42,'Interface - Substantial impacts'!$I$40,'DW Facility data'!L31)</f>
        <v>28036.292480750744</v>
      </c>
      <c r="N31" s="169">
        <f t="shared" si="1"/>
        <v>25344</v>
      </c>
      <c r="O31" s="85">
        <v>115548</v>
      </c>
      <c r="P31" s="81">
        <v>20969</v>
      </c>
      <c r="V31" s="103" t="s">
        <v>1908</v>
      </c>
      <c r="W31" s="68">
        <v>111</v>
      </c>
    </row>
    <row r="32" spans="1:23" x14ac:dyDescent="0.25">
      <c r="A32" s="40">
        <v>1050001</v>
      </c>
      <c r="B32" s="40" t="s">
        <v>1814</v>
      </c>
      <c r="C32" s="68">
        <v>2711</v>
      </c>
      <c r="D32" s="111">
        <v>973</v>
      </c>
      <c r="E32" s="40">
        <v>327000</v>
      </c>
      <c r="F32" s="43">
        <v>3680400</v>
      </c>
      <c r="K32" s="108">
        <v>3680400</v>
      </c>
      <c r="L32" s="66">
        <f t="shared" si="0"/>
        <v>2616000</v>
      </c>
      <c r="M32" s="153">
        <f>-PMT('Interface - Substantial impacts'!$I$42,'Interface - Substantial impacts'!$I$40,'DW Facility data'!L32)</f>
        <v>203730.39202678876</v>
      </c>
      <c r="N32" s="169">
        <f t="shared" si="1"/>
        <v>184166.40000000002</v>
      </c>
      <c r="O32" s="85">
        <v>337806</v>
      </c>
      <c r="P32" s="81">
        <v>68000</v>
      </c>
      <c r="V32" s="103" t="s">
        <v>997</v>
      </c>
      <c r="W32" s="68">
        <v>1618</v>
      </c>
    </row>
    <row r="33" spans="1:23" x14ac:dyDescent="0.25">
      <c r="A33" s="40">
        <v>1050002</v>
      </c>
      <c r="B33" s="40" t="s">
        <v>1581</v>
      </c>
      <c r="C33" s="68">
        <v>1975</v>
      </c>
      <c r="D33" s="111">
        <v>614</v>
      </c>
      <c r="E33" s="40">
        <v>627000</v>
      </c>
      <c r="F33" s="43">
        <v>570000</v>
      </c>
      <c r="K33" s="108">
        <v>570000</v>
      </c>
      <c r="L33" s="66">
        <f t="shared" si="0"/>
        <v>5016000</v>
      </c>
      <c r="M33" s="153">
        <f>-PMT('Interface - Substantial impacts'!$I$42,'Interface - Substantial impacts'!$I$40,'DW Facility data'!L33)</f>
        <v>390639.00856512703</v>
      </c>
      <c r="N33" s="169">
        <f t="shared" si="1"/>
        <v>353126.40000000002</v>
      </c>
      <c r="O33" s="85">
        <v>174512</v>
      </c>
      <c r="P33" s="81">
        <v>0</v>
      </c>
      <c r="V33" s="103" t="s">
        <v>1799</v>
      </c>
      <c r="W33" s="68">
        <v>1397</v>
      </c>
    </row>
    <row r="34" spans="1:23" x14ac:dyDescent="0.25">
      <c r="A34" s="40">
        <v>1050004</v>
      </c>
      <c r="B34" s="40" t="s">
        <v>1582</v>
      </c>
      <c r="C34" s="68">
        <v>13862</v>
      </c>
      <c r="D34" s="112">
        <v>5791</v>
      </c>
      <c r="E34" s="40">
        <v>2763000</v>
      </c>
      <c r="K34" s="108">
        <v>0</v>
      </c>
      <c r="L34" s="66">
        <f t="shared" si="0"/>
        <v>22104000</v>
      </c>
      <c r="M34" s="153">
        <f>-PMT('Interface - Substantial impacts'!$I$42,'Interface - Substantial impacts'!$I$40,'DW Facility data'!L34)</f>
        <v>1721428.3583180958</v>
      </c>
      <c r="N34" s="169">
        <f t="shared" si="1"/>
        <v>1556121.6000000001</v>
      </c>
      <c r="O34" s="85">
        <v>1680259</v>
      </c>
      <c r="P34" s="81">
        <v>2210483</v>
      </c>
      <c r="V34" s="103" t="s">
        <v>1741</v>
      </c>
      <c r="W34" s="68">
        <v>263</v>
      </c>
    </row>
    <row r="35" spans="1:23" x14ac:dyDescent="0.25">
      <c r="A35" s="40">
        <v>1060002</v>
      </c>
      <c r="B35" s="40" t="s">
        <v>1923</v>
      </c>
      <c r="C35" s="68">
        <v>216</v>
      </c>
      <c r="D35" s="111">
        <v>115</v>
      </c>
      <c r="E35" s="40">
        <v>140000</v>
      </c>
      <c r="K35" s="108">
        <v>0</v>
      </c>
      <c r="L35" s="66">
        <f t="shared" si="0"/>
        <v>1120000</v>
      </c>
      <c r="M35" s="153">
        <f>-PMT('Interface - Substantial impacts'!$I$42,'Interface - Substantial impacts'!$I$40,'DW Facility data'!L35)</f>
        <v>87224.021051224539</v>
      </c>
      <c r="N35" s="169">
        <f t="shared" si="1"/>
        <v>78848</v>
      </c>
      <c r="O35" s="85">
        <v>37063</v>
      </c>
      <c r="P35" s="81">
        <v>6769</v>
      </c>
      <c r="V35" s="103" t="s">
        <v>1717</v>
      </c>
      <c r="W35" s="68">
        <v>429</v>
      </c>
    </row>
    <row r="36" spans="1:23" x14ac:dyDescent="0.25">
      <c r="A36" s="108">
        <v>1060003</v>
      </c>
      <c r="B36" s="108" t="s">
        <v>1470</v>
      </c>
      <c r="C36" s="68">
        <v>386</v>
      </c>
      <c r="D36" s="111">
        <v>258</v>
      </c>
      <c r="E36" s="108">
        <v>75000</v>
      </c>
      <c r="F36" s="108">
        <v>1690000</v>
      </c>
      <c r="G36" s="108"/>
      <c r="H36" s="108"/>
      <c r="I36" s="108"/>
      <c r="J36" s="108"/>
      <c r="K36" s="108">
        <v>1690000</v>
      </c>
      <c r="L36" s="66">
        <f t="shared" si="0"/>
        <v>600000</v>
      </c>
      <c r="M36" s="153">
        <f>-PMT('Interface - Substantial impacts'!$I$42,'Interface - Substantial impacts'!$I$40,'DW Facility data'!L36)</f>
        <v>46727.154134584569</v>
      </c>
      <c r="N36" s="169">
        <f t="shared" si="1"/>
        <v>42240</v>
      </c>
      <c r="O36" s="104">
        <v>58965</v>
      </c>
      <c r="P36" s="81">
        <v>4959</v>
      </c>
      <c r="V36" s="109"/>
      <c r="W36" s="69"/>
    </row>
    <row r="37" spans="1:23" x14ac:dyDescent="0.25">
      <c r="A37" s="40">
        <v>1060004</v>
      </c>
      <c r="B37" s="40" t="s">
        <v>1642</v>
      </c>
      <c r="C37" s="68">
        <v>26</v>
      </c>
      <c r="D37" s="111">
        <v>36</v>
      </c>
      <c r="E37" s="40">
        <v>17000</v>
      </c>
      <c r="F37" s="108"/>
      <c r="K37" s="108">
        <v>0</v>
      </c>
      <c r="L37" s="66">
        <f t="shared" si="0"/>
        <v>136000</v>
      </c>
      <c r="M37" s="153">
        <f>-PMT('Interface - Substantial impacts'!$I$42,'Interface - Substantial impacts'!$I$40,'DW Facility data'!L37)</f>
        <v>10591.488270505835</v>
      </c>
      <c r="N37" s="169">
        <f t="shared" si="1"/>
        <v>9574.4000000000015</v>
      </c>
      <c r="O37" s="85">
        <v>6311</v>
      </c>
      <c r="P37" s="81">
        <v>0</v>
      </c>
      <c r="V37" s="103" t="s">
        <v>1512</v>
      </c>
      <c r="W37" s="68">
        <v>595</v>
      </c>
    </row>
    <row r="38" spans="1:23" x14ac:dyDescent="0.25">
      <c r="A38" s="40">
        <v>1060005</v>
      </c>
      <c r="B38" s="40" t="s">
        <v>1471</v>
      </c>
      <c r="C38" s="68">
        <v>529</v>
      </c>
      <c r="D38" s="111">
        <v>289</v>
      </c>
      <c r="E38" s="40">
        <v>200000</v>
      </c>
      <c r="F38" s="108"/>
      <c r="K38" s="108">
        <v>0</v>
      </c>
      <c r="L38" s="66">
        <f t="shared" si="0"/>
        <v>1600000</v>
      </c>
      <c r="M38" s="153">
        <f>-PMT('Interface - Substantial impacts'!$I$42,'Interface - Substantial impacts'!$I$40,'DW Facility data'!L38)</f>
        <v>124605.7443588922</v>
      </c>
      <c r="N38" s="169">
        <f t="shared" si="1"/>
        <v>112640</v>
      </c>
      <c r="O38" s="85">
        <v>196425</v>
      </c>
      <c r="P38" s="81">
        <v>69006</v>
      </c>
      <c r="V38" s="103" t="s">
        <v>999</v>
      </c>
      <c r="W38" s="68">
        <v>2759</v>
      </c>
    </row>
    <row r="39" spans="1:23" x14ac:dyDescent="0.25">
      <c r="A39" s="40">
        <v>1060006</v>
      </c>
      <c r="B39" s="40" t="s">
        <v>1944</v>
      </c>
      <c r="C39" s="68">
        <v>24</v>
      </c>
      <c r="D39" s="111">
        <v>13</v>
      </c>
      <c r="E39" s="40">
        <v>6000</v>
      </c>
      <c r="F39" s="108"/>
      <c r="K39" s="108">
        <v>0</v>
      </c>
      <c r="L39" s="66">
        <f t="shared" si="0"/>
        <v>48000</v>
      </c>
      <c r="M39" s="153">
        <f>-PMT('Interface - Substantial impacts'!$I$42,'Interface - Substantial impacts'!$I$40,'DW Facility data'!L39)</f>
        <v>3738.1723307667658</v>
      </c>
      <c r="N39" s="169">
        <f t="shared" si="1"/>
        <v>3379.2000000000003</v>
      </c>
      <c r="O39" s="85">
        <v>1309</v>
      </c>
      <c r="P39" s="81">
        <v>0</v>
      </c>
      <c r="V39" s="103" t="s">
        <v>1571</v>
      </c>
      <c r="W39" s="68">
        <v>620</v>
      </c>
    </row>
    <row r="40" spans="1:23" x14ac:dyDescent="0.25">
      <c r="A40" s="40">
        <v>1060007</v>
      </c>
      <c r="B40" s="40" t="s">
        <v>1541</v>
      </c>
      <c r="C40" s="68">
        <v>103</v>
      </c>
      <c r="D40" s="111">
        <v>77</v>
      </c>
      <c r="E40" s="40">
        <v>50000</v>
      </c>
      <c r="F40" s="108"/>
      <c r="K40" s="108">
        <v>0</v>
      </c>
      <c r="L40" s="66">
        <f t="shared" si="0"/>
        <v>400000</v>
      </c>
      <c r="M40" s="153">
        <f>-PMT('Interface - Substantial impacts'!$I$42,'Interface - Substantial impacts'!$I$40,'DW Facility data'!L40)</f>
        <v>31151.436089723051</v>
      </c>
      <c r="N40" s="169">
        <f t="shared" si="1"/>
        <v>28160</v>
      </c>
      <c r="O40" s="85">
        <v>61054</v>
      </c>
      <c r="P40" s="81">
        <v>18275</v>
      </c>
      <c r="V40" s="103" t="s">
        <v>1489</v>
      </c>
      <c r="W40" s="68">
        <v>366</v>
      </c>
    </row>
    <row r="41" spans="1:23" x14ac:dyDescent="0.25">
      <c r="A41" s="40">
        <v>1060008</v>
      </c>
      <c r="B41" s="40" t="s">
        <v>1594</v>
      </c>
      <c r="C41" s="68">
        <v>2021</v>
      </c>
      <c r="D41" s="112">
        <v>1184</v>
      </c>
      <c r="E41" s="40">
        <v>665000</v>
      </c>
      <c r="F41" s="108"/>
      <c r="K41" s="108">
        <v>0</v>
      </c>
      <c r="L41" s="66">
        <f t="shared" si="0"/>
        <v>5320000</v>
      </c>
      <c r="M41" s="153">
        <f>-PMT('Interface - Substantial impacts'!$I$42,'Interface - Substantial impacts'!$I$40,'DW Facility data'!L41)</f>
        <v>414314.09999331651</v>
      </c>
      <c r="N41" s="169">
        <f t="shared" si="1"/>
        <v>374528</v>
      </c>
      <c r="O41" s="85">
        <v>521807</v>
      </c>
      <c r="P41" s="81">
        <v>139498</v>
      </c>
      <c r="V41" s="103" t="s">
        <v>1643</v>
      </c>
      <c r="W41" s="68">
        <v>857</v>
      </c>
    </row>
    <row r="42" spans="1:23" x14ac:dyDescent="0.25">
      <c r="A42" s="40">
        <v>1070001</v>
      </c>
      <c r="B42" s="40" t="s">
        <v>985</v>
      </c>
      <c r="C42" s="68">
        <v>535</v>
      </c>
      <c r="D42" s="111">
        <v>288</v>
      </c>
      <c r="E42" s="40">
        <v>70000</v>
      </c>
      <c r="F42" s="43">
        <v>1526444</v>
      </c>
      <c r="K42" s="108">
        <v>1526444</v>
      </c>
      <c r="L42" s="66">
        <f t="shared" si="0"/>
        <v>560000</v>
      </c>
      <c r="M42" s="153">
        <f>-PMT('Interface - Substantial impacts'!$I$42,'Interface - Substantial impacts'!$I$40,'DW Facility data'!L42)</f>
        <v>43612.01052561227</v>
      </c>
      <c r="N42" s="169">
        <f t="shared" si="1"/>
        <v>39424</v>
      </c>
      <c r="O42" s="85">
        <v>116366</v>
      </c>
      <c r="P42" s="81">
        <v>0</v>
      </c>
      <c r="V42" s="103" t="s">
        <v>1765</v>
      </c>
      <c r="W42" s="68">
        <v>966</v>
      </c>
    </row>
    <row r="43" spans="1:23" x14ac:dyDescent="0.25">
      <c r="A43" s="40">
        <v>1070002</v>
      </c>
      <c r="B43" s="40" t="s">
        <v>1586</v>
      </c>
      <c r="C43" s="68">
        <v>3278</v>
      </c>
      <c r="D43" s="112">
        <v>1168</v>
      </c>
      <c r="E43" s="40">
        <v>372000</v>
      </c>
      <c r="K43" s="108">
        <v>0</v>
      </c>
      <c r="L43" s="66">
        <f t="shared" si="0"/>
        <v>2976000</v>
      </c>
      <c r="M43" s="153">
        <f>-PMT('Interface - Substantial impacts'!$I$42,'Interface - Substantial impacts'!$I$40,'DW Facility data'!L43)</f>
        <v>231766.6845075395</v>
      </c>
      <c r="N43" s="169">
        <f t="shared" si="1"/>
        <v>209510.40000000002</v>
      </c>
      <c r="O43" s="85">
        <v>276186</v>
      </c>
      <c r="P43" s="81">
        <v>0</v>
      </c>
      <c r="V43" s="103" t="s">
        <v>1873</v>
      </c>
      <c r="W43" s="68">
        <v>8612</v>
      </c>
    </row>
    <row r="44" spans="1:23" x14ac:dyDescent="0.25">
      <c r="A44" s="40">
        <v>1070005</v>
      </c>
      <c r="B44" s="40" t="s">
        <v>1567</v>
      </c>
      <c r="C44" s="68">
        <v>560</v>
      </c>
      <c r="D44" s="111">
        <v>268</v>
      </c>
      <c r="E44" s="40">
        <v>70000</v>
      </c>
      <c r="K44" s="108">
        <v>0</v>
      </c>
      <c r="L44" s="66">
        <f t="shared" si="0"/>
        <v>560000</v>
      </c>
      <c r="M44" s="153">
        <f>-PMT('Interface - Substantial impacts'!$I$42,'Interface - Substantial impacts'!$I$40,'DW Facility data'!L44)</f>
        <v>43612.01052561227</v>
      </c>
      <c r="N44" s="169">
        <f t="shared" si="1"/>
        <v>39424</v>
      </c>
      <c r="O44" s="85">
        <v>103123</v>
      </c>
      <c r="P44" s="81">
        <v>0</v>
      </c>
      <c r="V44" s="103" t="s">
        <v>1521</v>
      </c>
      <c r="W44" s="68">
        <v>4024</v>
      </c>
    </row>
    <row r="45" spans="1:23" x14ac:dyDescent="0.25">
      <c r="A45" s="40">
        <v>1070006</v>
      </c>
      <c r="B45" s="40" t="s">
        <v>1479</v>
      </c>
      <c r="C45" s="68">
        <v>2539</v>
      </c>
      <c r="D45" s="112">
        <v>1144</v>
      </c>
      <c r="E45" s="40">
        <v>957000</v>
      </c>
      <c r="K45" s="108">
        <v>0</v>
      </c>
      <c r="L45" s="66">
        <f t="shared" si="0"/>
        <v>7656000</v>
      </c>
      <c r="M45" s="153">
        <f>-PMT('Interface - Substantial impacts'!$I$42,'Interface - Substantial impacts'!$I$40,'DW Facility data'!L45)</f>
        <v>596238.48675729916</v>
      </c>
      <c r="N45" s="169">
        <f t="shared" si="1"/>
        <v>538982.40000000002</v>
      </c>
      <c r="O45" s="85">
        <v>658466</v>
      </c>
      <c r="P45" s="81">
        <v>351421</v>
      </c>
      <c r="V45" s="103" t="s">
        <v>1923</v>
      </c>
      <c r="W45" s="68">
        <v>216</v>
      </c>
    </row>
    <row r="46" spans="1:23" x14ac:dyDescent="0.25">
      <c r="A46" s="40">
        <v>1070007</v>
      </c>
      <c r="B46" s="40" t="s">
        <v>1871</v>
      </c>
      <c r="C46" s="68">
        <v>1247</v>
      </c>
      <c r="D46" s="111">
        <v>698</v>
      </c>
      <c r="E46" s="40">
        <v>221000</v>
      </c>
      <c r="K46" s="108">
        <v>0</v>
      </c>
      <c r="L46" s="66">
        <f t="shared" si="0"/>
        <v>1768000</v>
      </c>
      <c r="M46" s="153">
        <f>-PMT('Interface - Substantial impacts'!$I$42,'Interface - Substantial impacts'!$I$40,'DW Facility data'!L46)</f>
        <v>137689.34751657589</v>
      </c>
      <c r="N46" s="169">
        <f t="shared" si="1"/>
        <v>124467.20000000001</v>
      </c>
      <c r="O46" s="85">
        <v>307196</v>
      </c>
      <c r="P46" s="81">
        <v>170509</v>
      </c>
      <c r="V46" s="103" t="s">
        <v>1792</v>
      </c>
      <c r="W46" s="68">
        <v>120</v>
      </c>
    </row>
    <row r="47" spans="1:23" x14ac:dyDescent="0.25">
      <c r="A47" s="40">
        <v>1070009</v>
      </c>
      <c r="B47" s="40" t="s">
        <v>1480</v>
      </c>
      <c r="C47" s="68">
        <v>44488</v>
      </c>
      <c r="D47" s="112">
        <v>18306</v>
      </c>
      <c r="E47" s="40">
        <v>6815000</v>
      </c>
      <c r="K47" s="108">
        <v>0</v>
      </c>
      <c r="L47" s="66">
        <f t="shared" si="0"/>
        <v>54520000</v>
      </c>
      <c r="M47" s="153">
        <f>-PMT('Interface - Substantial impacts'!$I$42,'Interface - Substantial impacts'!$I$40,'DW Facility data'!L47)</f>
        <v>4245940.739029252</v>
      </c>
      <c r="N47" s="169">
        <f t="shared" si="1"/>
        <v>3838208</v>
      </c>
      <c r="O47" s="85">
        <v>6457190</v>
      </c>
      <c r="P47" s="81">
        <v>2737767</v>
      </c>
      <c r="V47" s="103" t="s">
        <v>1666</v>
      </c>
      <c r="W47" s="68">
        <v>280</v>
      </c>
    </row>
    <row r="48" spans="1:23" x14ac:dyDescent="0.25">
      <c r="A48" s="40">
        <v>1070013</v>
      </c>
      <c r="B48" s="40" t="s">
        <v>1481</v>
      </c>
      <c r="C48" s="68">
        <v>1710</v>
      </c>
      <c r="D48" s="111">
        <v>689</v>
      </c>
      <c r="E48" s="40">
        <v>407000</v>
      </c>
      <c r="K48" s="108">
        <v>0</v>
      </c>
      <c r="L48" s="66">
        <f t="shared" si="0"/>
        <v>3256000</v>
      </c>
      <c r="M48" s="153">
        <f>-PMT('Interface - Substantial impacts'!$I$42,'Interface - Substantial impacts'!$I$40,'DW Facility data'!L48)</f>
        <v>253572.68977034561</v>
      </c>
      <c r="N48" s="169">
        <f t="shared" si="1"/>
        <v>229222.40000000002</v>
      </c>
      <c r="O48" s="85">
        <v>222006</v>
      </c>
      <c r="P48" s="81">
        <v>0</v>
      </c>
      <c r="V48" s="103" t="s">
        <v>1828</v>
      </c>
      <c r="W48" s="68">
        <v>4877</v>
      </c>
    </row>
    <row r="49" spans="1:23" x14ac:dyDescent="0.25">
      <c r="A49" s="40">
        <v>1070015</v>
      </c>
      <c r="B49" s="40" t="s">
        <v>1171</v>
      </c>
      <c r="C49" s="68">
        <v>229</v>
      </c>
      <c r="D49" s="111">
        <v>95</v>
      </c>
      <c r="E49" s="40">
        <v>24000</v>
      </c>
      <c r="K49" s="108">
        <v>0</v>
      </c>
      <c r="L49" s="66">
        <f t="shared" si="0"/>
        <v>192000</v>
      </c>
      <c r="M49" s="153">
        <f>-PMT('Interface - Substantial impacts'!$I$42,'Interface - Substantial impacts'!$I$40,'DW Facility data'!L49)</f>
        <v>14952.689323067063</v>
      </c>
      <c r="N49" s="169">
        <f t="shared" si="1"/>
        <v>13516.800000000001</v>
      </c>
      <c r="O49" s="85">
        <v>41993</v>
      </c>
      <c r="P49" s="81">
        <v>26061</v>
      </c>
      <c r="V49" s="103" t="s">
        <v>1872</v>
      </c>
      <c r="W49" s="68">
        <v>84</v>
      </c>
    </row>
    <row r="50" spans="1:23" x14ac:dyDescent="0.25">
      <c r="A50" s="40">
        <v>1070017</v>
      </c>
      <c r="B50" s="40" t="s">
        <v>1869</v>
      </c>
      <c r="C50" s="68">
        <v>750</v>
      </c>
      <c r="D50" s="111">
        <v>300</v>
      </c>
      <c r="E50" s="40">
        <v>153000</v>
      </c>
      <c r="K50" s="108">
        <v>0</v>
      </c>
      <c r="L50" s="66">
        <f t="shared" si="0"/>
        <v>1224000</v>
      </c>
      <c r="M50" s="153">
        <f>-PMT('Interface - Substantial impacts'!$I$42,'Interface - Substantial impacts'!$I$40,'DW Facility data'!L50)</f>
        <v>95323.394434552523</v>
      </c>
      <c r="N50" s="169">
        <f t="shared" si="1"/>
        <v>86169.600000000006</v>
      </c>
      <c r="O50" s="85">
        <v>131576</v>
      </c>
      <c r="P50" s="81">
        <v>801388</v>
      </c>
      <c r="V50" s="103" t="s">
        <v>1890</v>
      </c>
      <c r="W50" s="68">
        <v>738</v>
      </c>
    </row>
    <row r="51" spans="1:23" x14ac:dyDescent="0.25">
      <c r="A51" s="40">
        <v>1070018</v>
      </c>
      <c r="B51" s="40" t="s">
        <v>1866</v>
      </c>
      <c r="C51" s="68">
        <v>288</v>
      </c>
      <c r="D51" s="111">
        <v>111</v>
      </c>
      <c r="E51" s="40">
        <v>55000</v>
      </c>
      <c r="K51" s="108">
        <v>0</v>
      </c>
      <c r="L51" s="66">
        <f t="shared" si="0"/>
        <v>440000</v>
      </c>
      <c r="M51" s="153">
        <f>-PMT('Interface - Substantial impacts'!$I$42,'Interface - Substantial impacts'!$I$40,'DW Facility data'!L51)</f>
        <v>34266.579698695357</v>
      </c>
      <c r="N51" s="169">
        <f t="shared" si="1"/>
        <v>30976.000000000004</v>
      </c>
      <c r="O51" s="85">
        <v>137949</v>
      </c>
      <c r="P51" s="81">
        <v>0</v>
      </c>
      <c r="V51" s="103" t="s">
        <v>1853</v>
      </c>
      <c r="W51" s="68">
        <v>7395</v>
      </c>
    </row>
    <row r="52" spans="1:23" x14ac:dyDescent="0.25">
      <c r="A52" s="40">
        <v>1070019</v>
      </c>
      <c r="B52" s="40" t="s">
        <v>1482</v>
      </c>
      <c r="C52" s="68">
        <v>328</v>
      </c>
      <c r="D52" s="111">
        <v>163</v>
      </c>
      <c r="E52" s="40">
        <v>98000</v>
      </c>
      <c r="F52" s="43">
        <v>2764300</v>
      </c>
      <c r="K52" s="108">
        <v>2764300</v>
      </c>
      <c r="L52" s="66">
        <f t="shared" si="0"/>
        <v>784000</v>
      </c>
      <c r="M52" s="153">
        <f>-PMT('Interface - Substantial impacts'!$I$42,'Interface - Substantial impacts'!$I$40,'DW Facility data'!L52)</f>
        <v>61056.814735857173</v>
      </c>
      <c r="N52" s="169">
        <f t="shared" si="1"/>
        <v>55193.600000000006</v>
      </c>
      <c r="O52" s="85">
        <v>125394</v>
      </c>
      <c r="P52" s="81">
        <v>103757</v>
      </c>
      <c r="V52" s="103" t="s">
        <v>1692</v>
      </c>
      <c r="W52" s="68">
        <v>176</v>
      </c>
    </row>
    <row r="53" spans="1:23" x14ac:dyDescent="0.25">
      <c r="A53" s="40">
        <v>1070026</v>
      </c>
      <c r="B53" s="109" t="s">
        <v>1587</v>
      </c>
      <c r="C53" s="69"/>
      <c r="D53" s="109"/>
      <c r="E53" s="40">
        <v>75000</v>
      </c>
      <c r="K53" s="108">
        <v>0</v>
      </c>
      <c r="L53" s="66">
        <f t="shared" si="0"/>
        <v>600000</v>
      </c>
      <c r="M53" s="153">
        <f>-PMT('Interface - Substantial impacts'!$I$42,'Interface - Substantial impacts'!$I$40,'DW Facility data'!L53)</f>
        <v>46727.154134584569</v>
      </c>
      <c r="N53" s="169">
        <f t="shared" si="1"/>
        <v>42240</v>
      </c>
      <c r="O53" s="105"/>
      <c r="P53" s="86"/>
      <c r="V53" s="103" t="s">
        <v>1513</v>
      </c>
      <c r="W53" s="68">
        <v>148</v>
      </c>
    </row>
    <row r="54" spans="1:23" x14ac:dyDescent="0.25">
      <c r="A54" s="40">
        <v>1080001</v>
      </c>
      <c r="B54" s="40" t="s">
        <v>1483</v>
      </c>
      <c r="C54" s="68">
        <v>392</v>
      </c>
      <c r="D54" s="111">
        <v>187</v>
      </c>
      <c r="E54" s="40">
        <v>50000</v>
      </c>
      <c r="K54" s="108">
        <v>0</v>
      </c>
      <c r="L54" s="66">
        <f t="shared" si="0"/>
        <v>400000</v>
      </c>
      <c r="M54" s="153">
        <f>-PMT('Interface - Substantial impacts'!$I$42,'Interface - Substantial impacts'!$I$40,'DW Facility data'!L54)</f>
        <v>31151.436089723051</v>
      </c>
      <c r="N54" s="169">
        <f t="shared" si="1"/>
        <v>28160</v>
      </c>
      <c r="O54" s="85">
        <v>69695</v>
      </c>
      <c r="P54" s="81">
        <v>59371</v>
      </c>
      <c r="V54" s="103" t="s">
        <v>1715</v>
      </c>
      <c r="W54" s="68">
        <v>88</v>
      </c>
    </row>
    <row r="55" spans="1:23" x14ac:dyDescent="0.25">
      <c r="A55" s="40">
        <v>1080002</v>
      </c>
      <c r="B55" s="40" t="s">
        <v>1588</v>
      </c>
      <c r="C55" s="68">
        <v>382</v>
      </c>
      <c r="D55" s="111">
        <v>192</v>
      </c>
      <c r="E55" s="40">
        <v>155000</v>
      </c>
      <c r="F55" s="43">
        <v>1352000</v>
      </c>
      <c r="K55" s="108">
        <v>1352000</v>
      </c>
      <c r="L55" s="66">
        <f t="shared" si="0"/>
        <v>1240000</v>
      </c>
      <c r="M55" s="153">
        <f>-PMT('Interface - Substantial impacts'!$I$42,'Interface - Substantial impacts'!$I$40,'DW Facility data'!L55)</f>
        <v>96569.451878141452</v>
      </c>
      <c r="N55" s="169">
        <f t="shared" si="1"/>
        <v>87296</v>
      </c>
      <c r="O55" s="85">
        <v>68586</v>
      </c>
      <c r="P55" s="81">
        <v>59369</v>
      </c>
      <c r="V55" s="103" t="s">
        <v>1527</v>
      </c>
      <c r="W55" s="68">
        <v>291</v>
      </c>
    </row>
    <row r="56" spans="1:23" x14ac:dyDescent="0.25">
      <c r="A56" s="40">
        <v>1080003</v>
      </c>
      <c r="B56" s="40" t="s">
        <v>1155</v>
      </c>
      <c r="C56" s="68">
        <v>14120</v>
      </c>
      <c r="D56" s="112">
        <v>6084</v>
      </c>
      <c r="E56" s="40">
        <v>4199000</v>
      </c>
      <c r="K56" s="108">
        <v>0</v>
      </c>
      <c r="L56" s="66">
        <f t="shared" si="0"/>
        <v>33592000</v>
      </c>
      <c r="M56" s="153">
        <f>-PMT('Interface - Substantial impacts'!$I$42,'Interface - Substantial impacts'!$I$40,'DW Facility data'!L56)</f>
        <v>2616097.6028149417</v>
      </c>
      <c r="N56" s="169">
        <f t="shared" si="1"/>
        <v>2364876.8000000003</v>
      </c>
      <c r="O56" s="85">
        <v>2958480</v>
      </c>
      <c r="P56" s="81">
        <v>236196</v>
      </c>
      <c r="V56" s="103" t="s">
        <v>1756</v>
      </c>
      <c r="W56" s="68">
        <v>14574</v>
      </c>
    </row>
    <row r="57" spans="1:23" x14ac:dyDescent="0.25">
      <c r="A57" s="40">
        <v>1080005</v>
      </c>
      <c r="B57" s="109" t="s">
        <v>1212</v>
      </c>
      <c r="C57" s="69"/>
      <c r="D57" s="112">
        <v>1669</v>
      </c>
      <c r="E57" s="40">
        <v>563000</v>
      </c>
      <c r="K57" s="108">
        <v>0</v>
      </c>
      <c r="L57" s="66">
        <f t="shared" si="0"/>
        <v>4504000</v>
      </c>
      <c r="M57" s="153">
        <f>-PMT('Interface - Substantial impacts'!$I$42,'Interface - Substantial impacts'!$I$40,'DW Facility data'!L57)</f>
        <v>350765.17037028156</v>
      </c>
      <c r="N57" s="169">
        <f t="shared" si="1"/>
        <v>317081.60000000003</v>
      </c>
      <c r="O57" s="105"/>
      <c r="P57" s="86"/>
      <c r="V57" s="103" t="s">
        <v>1003</v>
      </c>
      <c r="W57" s="68">
        <v>3480</v>
      </c>
    </row>
    <row r="58" spans="1:23" x14ac:dyDescent="0.25">
      <c r="A58" s="40">
        <v>1080008</v>
      </c>
      <c r="B58" s="40" t="s">
        <v>1216</v>
      </c>
      <c r="C58" s="68">
        <v>2027</v>
      </c>
      <c r="D58" s="112">
        <v>1088</v>
      </c>
      <c r="E58" s="40">
        <v>390000</v>
      </c>
      <c r="K58" s="108">
        <v>0</v>
      </c>
      <c r="L58" s="66">
        <f t="shared" si="0"/>
        <v>3120000</v>
      </c>
      <c r="M58" s="153">
        <f>-PMT('Interface - Substantial impacts'!$I$42,'Interface - Substantial impacts'!$I$40,'DW Facility data'!L58)</f>
        <v>242981.20149983978</v>
      </c>
      <c r="N58" s="169">
        <f t="shared" si="1"/>
        <v>219648</v>
      </c>
      <c r="O58" s="85">
        <v>396203</v>
      </c>
      <c r="P58" s="81">
        <v>63642</v>
      </c>
      <c r="V58" s="103" t="s">
        <v>1893</v>
      </c>
      <c r="W58" s="68">
        <v>560</v>
      </c>
    </row>
    <row r="59" spans="1:23" x14ac:dyDescent="0.25">
      <c r="A59" s="40">
        <v>1080009</v>
      </c>
      <c r="B59" s="40" t="s">
        <v>1982</v>
      </c>
      <c r="C59" s="68">
        <v>70</v>
      </c>
      <c r="D59" s="111">
        <v>38</v>
      </c>
      <c r="E59" s="40">
        <v>0</v>
      </c>
      <c r="K59" s="108">
        <v>0</v>
      </c>
      <c r="L59" s="66">
        <f t="shared" si="0"/>
        <v>0</v>
      </c>
      <c r="M59" s="153">
        <f>-PMT('Interface - Substantial impacts'!$I$42,'Interface - Substantial impacts'!$I$40,'DW Facility data'!L59)</f>
        <v>0</v>
      </c>
      <c r="N59" s="169">
        <f t="shared" si="1"/>
        <v>0</v>
      </c>
      <c r="O59" s="85">
        <v>26583</v>
      </c>
      <c r="P59" s="81">
        <v>16911</v>
      </c>
      <c r="V59" s="103" t="s">
        <v>1763</v>
      </c>
      <c r="W59" s="68">
        <v>175</v>
      </c>
    </row>
    <row r="60" spans="1:23" x14ac:dyDescent="0.25">
      <c r="A60" s="40">
        <v>1080010</v>
      </c>
      <c r="B60" s="40" t="s">
        <v>1832</v>
      </c>
      <c r="C60" s="68">
        <v>36</v>
      </c>
      <c r="D60" s="111">
        <v>21</v>
      </c>
      <c r="E60" s="40">
        <v>6500</v>
      </c>
      <c r="K60" s="108">
        <v>0</v>
      </c>
      <c r="L60" s="66">
        <f t="shared" si="0"/>
        <v>52000</v>
      </c>
      <c r="M60" s="153">
        <f>-PMT('Interface - Substantial impacts'!$I$42,'Interface - Substantial impacts'!$I$40,'DW Facility data'!L60)</f>
        <v>4049.686691663996</v>
      </c>
      <c r="N60" s="169">
        <f t="shared" si="1"/>
        <v>3660.8</v>
      </c>
      <c r="O60" s="85">
        <v>13975</v>
      </c>
      <c r="P60" s="81">
        <v>5032</v>
      </c>
      <c r="V60" s="103" t="s">
        <v>1728</v>
      </c>
      <c r="W60" s="68">
        <v>11686</v>
      </c>
    </row>
    <row r="61" spans="1:23" x14ac:dyDescent="0.25">
      <c r="A61" s="40">
        <v>1090001</v>
      </c>
      <c r="B61" s="40" t="s">
        <v>1571</v>
      </c>
      <c r="C61" s="68">
        <v>620</v>
      </c>
      <c r="D61" s="111">
        <v>279</v>
      </c>
      <c r="E61" s="40">
        <v>75000</v>
      </c>
      <c r="F61" s="17"/>
      <c r="K61" s="108">
        <v>0</v>
      </c>
      <c r="L61" s="66">
        <f t="shared" si="0"/>
        <v>600000</v>
      </c>
      <c r="M61" s="153">
        <f>-PMT('Interface - Substantial impacts'!$I$42,'Interface - Substantial impacts'!$I$40,'DW Facility data'!L61)</f>
        <v>46727.154134584569</v>
      </c>
      <c r="N61" s="169">
        <f t="shared" si="1"/>
        <v>42240</v>
      </c>
      <c r="O61" s="85">
        <v>167619</v>
      </c>
      <c r="P61" s="81">
        <v>46507</v>
      </c>
      <c r="V61" s="103" t="s">
        <v>1962</v>
      </c>
      <c r="W61" s="68">
        <v>227</v>
      </c>
    </row>
    <row r="62" spans="1:23" x14ac:dyDescent="0.25">
      <c r="A62" s="40">
        <v>1090003</v>
      </c>
      <c r="B62" s="40" t="s">
        <v>1922</v>
      </c>
      <c r="C62" s="68">
        <v>948</v>
      </c>
      <c r="D62" s="111">
        <v>462</v>
      </c>
      <c r="E62" s="40">
        <v>150000</v>
      </c>
      <c r="K62" s="108">
        <v>0</v>
      </c>
      <c r="L62" s="66">
        <f t="shared" si="0"/>
        <v>1200000</v>
      </c>
      <c r="M62" s="153">
        <f>-PMT('Interface - Substantial impacts'!$I$42,'Interface - Substantial impacts'!$I$40,'DW Facility data'!L62)</f>
        <v>93454.308269169138</v>
      </c>
      <c r="N62" s="169">
        <f t="shared" si="1"/>
        <v>84480</v>
      </c>
      <c r="O62" s="85">
        <v>384341</v>
      </c>
      <c r="P62" s="81">
        <v>246734</v>
      </c>
      <c r="V62" s="103" t="s">
        <v>1784</v>
      </c>
      <c r="W62" s="68">
        <v>400</v>
      </c>
    </row>
    <row r="63" spans="1:23" x14ac:dyDescent="0.25">
      <c r="A63" s="40">
        <v>1090005</v>
      </c>
      <c r="B63" s="40" t="s">
        <v>1732</v>
      </c>
      <c r="C63" s="68">
        <v>12568</v>
      </c>
      <c r="D63" s="112">
        <v>5329</v>
      </c>
      <c r="E63" s="40">
        <v>1700000</v>
      </c>
      <c r="F63" s="43">
        <v>1838200</v>
      </c>
      <c r="K63" s="108">
        <v>1838200</v>
      </c>
      <c r="L63" s="66">
        <f t="shared" si="0"/>
        <v>13600000</v>
      </c>
      <c r="M63" s="153">
        <f>-PMT('Interface - Substantial impacts'!$I$42,'Interface - Substantial impacts'!$I$40,'DW Facility data'!L63)</f>
        <v>1059148.8270505837</v>
      </c>
      <c r="N63" s="169">
        <f t="shared" si="1"/>
        <v>957440</v>
      </c>
      <c r="O63" s="85">
        <v>3180940</v>
      </c>
      <c r="P63" s="81">
        <v>571450</v>
      </c>
      <c r="V63" s="103" t="s">
        <v>2032</v>
      </c>
      <c r="W63" s="68">
        <v>137</v>
      </c>
    </row>
    <row r="64" spans="1:23" x14ac:dyDescent="0.25">
      <c r="A64" s="40">
        <v>1090007</v>
      </c>
      <c r="B64" s="108" t="s">
        <v>1674</v>
      </c>
      <c r="C64" s="68">
        <v>240</v>
      </c>
      <c r="D64" s="111">
        <v>191</v>
      </c>
      <c r="E64" s="40">
        <v>25000</v>
      </c>
      <c r="K64" s="108">
        <v>0</v>
      </c>
      <c r="L64" s="66">
        <f t="shared" si="0"/>
        <v>200000</v>
      </c>
      <c r="M64" s="153">
        <f>-PMT('Interface - Substantial impacts'!$I$42,'Interface - Substantial impacts'!$I$40,'DW Facility data'!L64)</f>
        <v>15575.718044861525</v>
      </c>
      <c r="N64" s="169">
        <f t="shared" si="1"/>
        <v>14080</v>
      </c>
      <c r="O64" s="104">
        <v>26618</v>
      </c>
      <c r="P64" s="81">
        <v>9584</v>
      </c>
      <c r="V64" s="103" t="s">
        <v>1953</v>
      </c>
      <c r="W64" s="68">
        <v>863</v>
      </c>
    </row>
    <row r="65" spans="1:23" x14ac:dyDescent="0.25">
      <c r="A65" s="40">
        <v>1090008</v>
      </c>
      <c r="B65" s="40" t="s">
        <v>1675</v>
      </c>
      <c r="C65" s="68">
        <v>166</v>
      </c>
      <c r="D65" s="111">
        <v>81</v>
      </c>
      <c r="E65" s="40">
        <v>40000</v>
      </c>
      <c r="K65" s="108">
        <v>0</v>
      </c>
      <c r="L65" s="66">
        <f t="shared" si="0"/>
        <v>320000</v>
      </c>
      <c r="M65" s="153">
        <f>-PMT('Interface - Substantial impacts'!$I$42,'Interface - Substantial impacts'!$I$40,'DW Facility data'!L65)</f>
        <v>24921.148871778441</v>
      </c>
      <c r="N65" s="169">
        <f t="shared" si="1"/>
        <v>22528</v>
      </c>
      <c r="O65" s="85">
        <v>47463</v>
      </c>
      <c r="P65" s="81">
        <v>26823</v>
      </c>
      <c r="V65" s="103" t="s">
        <v>1895</v>
      </c>
      <c r="W65" s="68">
        <v>1005</v>
      </c>
    </row>
    <row r="66" spans="1:23" x14ac:dyDescent="0.25">
      <c r="A66" s="40">
        <v>1090009</v>
      </c>
      <c r="B66" s="40" t="s">
        <v>1924</v>
      </c>
      <c r="C66" s="68">
        <v>2789</v>
      </c>
      <c r="D66" s="111">
        <v>511</v>
      </c>
      <c r="E66" s="40">
        <v>300000</v>
      </c>
      <c r="K66" s="108">
        <v>0</v>
      </c>
      <c r="L66" s="66">
        <f t="shared" ref="L66:L129" si="2">E66*8</f>
        <v>2400000</v>
      </c>
      <c r="M66" s="153">
        <f>-PMT('Interface - Substantial impacts'!$I$42,'Interface - Substantial impacts'!$I$40,'DW Facility data'!L66)</f>
        <v>186908.61653833828</v>
      </c>
      <c r="N66" s="169">
        <f t="shared" si="1"/>
        <v>168960</v>
      </c>
      <c r="O66" s="85">
        <v>166873</v>
      </c>
      <c r="P66" s="81">
        <v>164987</v>
      </c>
      <c r="V66" s="103" t="s">
        <v>1909</v>
      </c>
      <c r="W66" s="68">
        <v>113</v>
      </c>
    </row>
    <row r="67" spans="1:23" x14ac:dyDescent="0.25">
      <c r="A67" s="40">
        <v>1090011</v>
      </c>
      <c r="B67" s="40" t="s">
        <v>2037</v>
      </c>
      <c r="C67" s="68">
        <v>987</v>
      </c>
      <c r="D67" s="111">
        <v>476</v>
      </c>
      <c r="E67" s="40">
        <v>150000</v>
      </c>
      <c r="K67" s="108">
        <v>0</v>
      </c>
      <c r="L67" s="66">
        <f t="shared" si="2"/>
        <v>1200000</v>
      </c>
      <c r="M67" s="153">
        <f>-PMT('Interface - Substantial impacts'!$I$42,'Interface - Substantial impacts'!$I$40,'DW Facility data'!L67)</f>
        <v>93454.308269169138</v>
      </c>
      <c r="N67" s="169">
        <f t="shared" ref="N67:N130" si="3">L67*0.0704</f>
        <v>84480</v>
      </c>
      <c r="O67" s="85">
        <v>431367</v>
      </c>
      <c r="P67" s="81">
        <v>90951</v>
      </c>
      <c r="V67" s="103" t="s">
        <v>1800</v>
      </c>
      <c r="W67" s="68">
        <v>961</v>
      </c>
    </row>
    <row r="68" spans="1:23" x14ac:dyDescent="0.25">
      <c r="A68" s="40">
        <v>1090013</v>
      </c>
      <c r="B68" s="40" t="s">
        <v>1647</v>
      </c>
      <c r="C68" s="68">
        <v>428</v>
      </c>
      <c r="D68" s="111">
        <v>183</v>
      </c>
      <c r="E68" s="40">
        <v>25000</v>
      </c>
      <c r="K68" s="108">
        <v>0</v>
      </c>
      <c r="L68" s="66">
        <f t="shared" si="2"/>
        <v>200000</v>
      </c>
      <c r="M68" s="153">
        <f>-PMT('Interface - Substantial impacts'!$I$42,'Interface - Substantial impacts'!$I$40,'DW Facility data'!L68)</f>
        <v>15575.718044861525</v>
      </c>
      <c r="N68" s="169">
        <f t="shared" si="3"/>
        <v>14080</v>
      </c>
      <c r="O68" s="85">
        <v>74162</v>
      </c>
      <c r="P68" s="81">
        <v>76715</v>
      </c>
      <c r="V68" s="103" t="s">
        <v>1645</v>
      </c>
      <c r="W68" s="68">
        <v>845</v>
      </c>
    </row>
    <row r="69" spans="1:23" x14ac:dyDescent="0.25">
      <c r="A69" s="40">
        <v>1100001</v>
      </c>
      <c r="B69" s="40" t="s">
        <v>1829</v>
      </c>
      <c r="C69" s="68">
        <v>25947</v>
      </c>
      <c r="D69" s="112">
        <v>9828</v>
      </c>
      <c r="E69" s="40">
        <v>7170800</v>
      </c>
      <c r="F69" s="43">
        <v>18360000</v>
      </c>
      <c r="K69" s="108">
        <v>18360000</v>
      </c>
      <c r="L69" s="66">
        <f t="shared" si="2"/>
        <v>57366400</v>
      </c>
      <c r="M69" s="153">
        <f>-PMT('Interface - Substantial impacts'!$I$42,'Interface - Substantial impacts'!$I$40,'DW Facility data'!L69)</f>
        <v>4467614.3582437206</v>
      </c>
      <c r="N69" s="169">
        <f t="shared" si="3"/>
        <v>4038594.5600000001</v>
      </c>
      <c r="O69" s="85">
        <v>4171683</v>
      </c>
      <c r="P69" s="81">
        <v>2737519</v>
      </c>
      <c r="V69" s="103" t="s">
        <v>1651</v>
      </c>
      <c r="W69" s="68">
        <v>70222</v>
      </c>
    </row>
    <row r="70" spans="1:23" x14ac:dyDescent="0.25">
      <c r="A70" s="40">
        <v>1100002</v>
      </c>
      <c r="B70" s="40" t="s">
        <v>1775</v>
      </c>
      <c r="C70" s="68">
        <v>27810</v>
      </c>
      <c r="D70" s="112">
        <v>10485</v>
      </c>
      <c r="E70" s="40">
        <v>7047000</v>
      </c>
      <c r="K70" s="108">
        <v>0</v>
      </c>
      <c r="L70" s="66">
        <f t="shared" si="2"/>
        <v>56376000</v>
      </c>
      <c r="M70" s="153">
        <f>-PMT('Interface - Substantial impacts'!$I$42,'Interface - Substantial impacts'!$I$40,'DW Facility data'!L70)</f>
        <v>4390483.4024855662</v>
      </c>
      <c r="N70" s="169">
        <f t="shared" si="3"/>
        <v>3968870.4000000004</v>
      </c>
      <c r="O70" s="85">
        <v>3188013</v>
      </c>
      <c r="P70" s="81">
        <v>1126206</v>
      </c>
      <c r="V70" s="103" t="s">
        <v>1901</v>
      </c>
      <c r="W70" s="68">
        <v>145</v>
      </c>
    </row>
    <row r="71" spans="1:23" x14ac:dyDescent="0.25">
      <c r="A71" s="40">
        <v>1100004</v>
      </c>
      <c r="B71" s="40" t="s">
        <v>1776</v>
      </c>
      <c r="C71" s="68">
        <v>2047</v>
      </c>
      <c r="D71" s="111">
        <v>770</v>
      </c>
      <c r="E71" s="40">
        <v>500000</v>
      </c>
      <c r="K71" s="108">
        <v>0</v>
      </c>
      <c r="L71" s="66">
        <f t="shared" si="2"/>
        <v>4000000</v>
      </c>
      <c r="M71" s="153">
        <f>-PMT('Interface - Substantial impacts'!$I$42,'Interface - Substantial impacts'!$I$40,'DW Facility data'!L71)</f>
        <v>311514.36089723051</v>
      </c>
      <c r="N71" s="169">
        <f t="shared" si="3"/>
        <v>281600</v>
      </c>
      <c r="O71" s="85">
        <v>532705</v>
      </c>
      <c r="P71" s="81">
        <v>525282</v>
      </c>
      <c r="V71" s="103" t="s">
        <v>1005</v>
      </c>
      <c r="W71" s="68">
        <v>1974</v>
      </c>
    </row>
    <row r="72" spans="1:23" x14ac:dyDescent="0.25">
      <c r="A72" s="40">
        <v>1100005</v>
      </c>
      <c r="B72" s="40" t="s">
        <v>1830</v>
      </c>
      <c r="C72" s="68">
        <v>566</v>
      </c>
      <c r="D72" s="111">
        <v>218</v>
      </c>
      <c r="E72" s="40">
        <v>50900</v>
      </c>
      <c r="K72" s="108">
        <v>0</v>
      </c>
      <c r="L72" s="66">
        <f t="shared" si="2"/>
        <v>407200</v>
      </c>
      <c r="M72" s="153">
        <f>-PMT('Interface - Substantial impacts'!$I$42,'Interface - Substantial impacts'!$I$40,'DW Facility data'!L72)</f>
        <v>31712.161939338064</v>
      </c>
      <c r="N72" s="169">
        <f t="shared" si="3"/>
        <v>28666.880000000001</v>
      </c>
      <c r="O72" s="85">
        <v>120259</v>
      </c>
      <c r="P72" s="81">
        <v>82706</v>
      </c>
      <c r="V72" s="103" t="s">
        <v>1453</v>
      </c>
      <c r="W72" s="68">
        <v>89987</v>
      </c>
    </row>
    <row r="73" spans="1:23" x14ac:dyDescent="0.25">
      <c r="A73" s="40">
        <v>1100006</v>
      </c>
      <c r="B73" s="40" t="s">
        <v>1125</v>
      </c>
      <c r="C73" s="68">
        <v>2453</v>
      </c>
      <c r="D73" s="111">
        <v>757</v>
      </c>
      <c r="E73" s="40">
        <v>312000</v>
      </c>
      <c r="F73" s="43">
        <v>875957</v>
      </c>
      <c r="K73" s="108">
        <v>875957</v>
      </c>
      <c r="L73" s="66">
        <f t="shared" si="2"/>
        <v>2496000</v>
      </c>
      <c r="M73" s="153">
        <f>-PMT('Interface - Substantial impacts'!$I$42,'Interface - Substantial impacts'!$I$40,'DW Facility data'!L73)</f>
        <v>194384.96119987185</v>
      </c>
      <c r="N73" s="169">
        <f t="shared" si="3"/>
        <v>175718.40000000002</v>
      </c>
      <c r="O73" s="85">
        <v>459034</v>
      </c>
      <c r="P73" s="81">
        <v>347851</v>
      </c>
      <c r="V73" s="103" t="s">
        <v>1007</v>
      </c>
      <c r="W73" s="68">
        <v>3174</v>
      </c>
    </row>
    <row r="74" spans="1:23" x14ac:dyDescent="0.25">
      <c r="A74" s="40">
        <v>1100007</v>
      </c>
      <c r="B74" s="40" t="s">
        <v>1881</v>
      </c>
      <c r="C74" s="68">
        <v>464</v>
      </c>
      <c r="D74" s="111">
        <v>182</v>
      </c>
      <c r="E74" s="40">
        <v>99000</v>
      </c>
      <c r="K74" s="108">
        <v>0</v>
      </c>
      <c r="L74" s="66">
        <f t="shared" si="2"/>
        <v>792000</v>
      </c>
      <c r="M74" s="153">
        <f>-PMT('Interface - Substantial impacts'!$I$42,'Interface - Substantial impacts'!$I$40,'DW Facility data'!L74)</f>
        <v>61679.84345765163</v>
      </c>
      <c r="N74" s="169">
        <f t="shared" si="3"/>
        <v>55756.800000000003</v>
      </c>
      <c r="O74" s="85">
        <v>42358</v>
      </c>
      <c r="P74" s="81">
        <v>351211</v>
      </c>
      <c r="V74" s="103" t="s">
        <v>1772</v>
      </c>
      <c r="W74" s="68">
        <v>78</v>
      </c>
    </row>
    <row r="75" spans="1:23" x14ac:dyDescent="0.25">
      <c r="A75" s="40">
        <v>1100009</v>
      </c>
      <c r="B75" s="40" t="s">
        <v>1841</v>
      </c>
      <c r="C75" s="68">
        <v>10546</v>
      </c>
      <c r="D75" s="112">
        <v>3455</v>
      </c>
      <c r="E75" s="40">
        <v>3600000</v>
      </c>
      <c r="F75" s="66"/>
      <c r="K75" s="108">
        <v>0</v>
      </c>
      <c r="L75" s="66">
        <f t="shared" si="2"/>
        <v>28800000</v>
      </c>
      <c r="M75" s="153">
        <f>-PMT('Interface - Substantial impacts'!$I$42,'Interface - Substantial impacts'!$I$40,'DW Facility data'!L75)</f>
        <v>2242903.3984600594</v>
      </c>
      <c r="N75" s="169">
        <f t="shared" si="3"/>
        <v>2027520.0000000002</v>
      </c>
      <c r="O75" s="85">
        <v>1501397</v>
      </c>
      <c r="P75" s="81">
        <v>803433</v>
      </c>
      <c r="V75" s="103" t="s">
        <v>1491</v>
      </c>
      <c r="W75" s="68">
        <v>96</v>
      </c>
    </row>
    <row r="76" spans="1:23" x14ac:dyDescent="0.25">
      <c r="A76" s="40">
        <v>1100010</v>
      </c>
      <c r="B76" s="40" t="s">
        <v>1623</v>
      </c>
      <c r="C76" s="68">
        <v>13033</v>
      </c>
      <c r="D76" s="112">
        <v>4633</v>
      </c>
      <c r="E76" s="40">
        <v>3100000</v>
      </c>
      <c r="F76" s="66"/>
      <c r="K76" s="108">
        <v>0</v>
      </c>
      <c r="L76" s="66">
        <f t="shared" si="2"/>
        <v>24800000</v>
      </c>
      <c r="M76" s="153">
        <f>-PMT('Interface - Substantial impacts'!$I$42,'Interface - Substantial impacts'!$I$40,'DW Facility data'!L76)</f>
        <v>1931389.037562829</v>
      </c>
      <c r="N76" s="169">
        <f t="shared" si="3"/>
        <v>1745920</v>
      </c>
      <c r="O76" s="85">
        <v>2048713</v>
      </c>
      <c r="P76" s="81">
        <v>877102</v>
      </c>
      <c r="V76" s="103" t="s">
        <v>1785</v>
      </c>
      <c r="W76" s="68">
        <v>829</v>
      </c>
    </row>
    <row r="77" spans="1:23" x14ac:dyDescent="0.25">
      <c r="A77" s="40">
        <v>1100012</v>
      </c>
      <c r="B77" s="40" t="s">
        <v>1240</v>
      </c>
      <c r="C77" s="68">
        <v>4659</v>
      </c>
      <c r="D77" s="112">
        <v>1643</v>
      </c>
      <c r="E77" s="40">
        <v>456000</v>
      </c>
      <c r="F77" s="66"/>
      <c r="K77" s="108">
        <v>0</v>
      </c>
      <c r="L77" s="66">
        <f t="shared" si="2"/>
        <v>3648000</v>
      </c>
      <c r="M77" s="153">
        <f>-PMT('Interface - Substantial impacts'!$I$42,'Interface - Substantial impacts'!$I$40,'DW Facility data'!L77)</f>
        <v>284101.09713827417</v>
      </c>
      <c r="N77" s="169">
        <f t="shared" si="3"/>
        <v>256819.20000000001</v>
      </c>
      <c r="O77" s="85">
        <v>566343</v>
      </c>
      <c r="P77" s="81">
        <v>174044</v>
      </c>
      <c r="V77" s="103" t="s">
        <v>1826</v>
      </c>
      <c r="W77" s="68">
        <v>279</v>
      </c>
    </row>
    <row r="78" spans="1:23" x14ac:dyDescent="0.25">
      <c r="A78" s="40">
        <v>1100017</v>
      </c>
      <c r="B78" s="40" t="s">
        <v>1831</v>
      </c>
      <c r="C78" s="68">
        <v>5829</v>
      </c>
      <c r="D78" s="112">
        <v>1814</v>
      </c>
      <c r="E78" s="40">
        <v>1021000</v>
      </c>
      <c r="F78" s="66"/>
      <c r="K78" s="108">
        <v>0</v>
      </c>
      <c r="L78" s="66">
        <f t="shared" si="2"/>
        <v>8168000</v>
      </c>
      <c r="M78" s="153">
        <f>-PMT('Interface - Substantial impacts'!$I$42,'Interface - Substantial impacts'!$I$40,'DW Facility data'!L78)</f>
        <v>636112.32495214464</v>
      </c>
      <c r="N78" s="169">
        <f t="shared" si="3"/>
        <v>575027.20000000007</v>
      </c>
      <c r="O78" s="85">
        <v>1035481</v>
      </c>
      <c r="P78" s="81">
        <v>721259</v>
      </c>
      <c r="V78" s="103" t="s">
        <v>2015</v>
      </c>
      <c r="W78" s="68">
        <v>141</v>
      </c>
    </row>
    <row r="79" spans="1:23" x14ac:dyDescent="0.25">
      <c r="A79" s="40">
        <v>1100019</v>
      </c>
      <c r="B79" s="40" t="s">
        <v>1833</v>
      </c>
      <c r="C79" s="68">
        <v>3863</v>
      </c>
      <c r="D79" s="112">
        <v>1391</v>
      </c>
      <c r="E79" s="40">
        <v>571000</v>
      </c>
      <c r="F79" s="66"/>
      <c r="K79" s="108">
        <v>0</v>
      </c>
      <c r="L79" s="66">
        <f t="shared" si="2"/>
        <v>4568000</v>
      </c>
      <c r="M79" s="153">
        <f>-PMT('Interface - Substantial impacts'!$I$42,'Interface - Substantial impacts'!$I$40,'DW Facility data'!L79)</f>
        <v>355749.40014463721</v>
      </c>
      <c r="N79" s="169">
        <f t="shared" si="3"/>
        <v>321587.20000000001</v>
      </c>
      <c r="O79" s="85">
        <v>586908</v>
      </c>
      <c r="P79" s="81">
        <v>725574</v>
      </c>
      <c r="V79" s="103" t="s">
        <v>1009</v>
      </c>
      <c r="W79" s="68">
        <v>1769</v>
      </c>
    </row>
    <row r="80" spans="1:23" x14ac:dyDescent="0.25">
      <c r="A80" s="108">
        <v>1110002</v>
      </c>
      <c r="B80" s="108" t="s">
        <v>1741</v>
      </c>
      <c r="C80" s="68">
        <v>263</v>
      </c>
      <c r="D80" s="111">
        <v>175</v>
      </c>
      <c r="E80" s="40">
        <v>60000</v>
      </c>
      <c r="F80" s="66"/>
      <c r="K80" s="108">
        <v>0</v>
      </c>
      <c r="L80" s="66">
        <f t="shared" si="2"/>
        <v>480000</v>
      </c>
      <c r="M80" s="153">
        <f>-PMT('Interface - Substantial impacts'!$I$42,'Interface - Substantial impacts'!$I$40,'DW Facility data'!L80)</f>
        <v>37381.723307667657</v>
      </c>
      <c r="N80" s="169">
        <f t="shared" si="3"/>
        <v>33792</v>
      </c>
      <c r="O80" s="104">
        <v>67267</v>
      </c>
      <c r="P80" s="81">
        <v>10498</v>
      </c>
      <c r="V80" s="109"/>
      <c r="W80" s="69"/>
    </row>
    <row r="81" spans="1:23" x14ac:dyDescent="0.25">
      <c r="A81" s="40">
        <v>1110006</v>
      </c>
      <c r="B81" s="40" t="s">
        <v>1758</v>
      </c>
      <c r="C81" s="68">
        <v>675</v>
      </c>
      <c r="D81" s="111">
        <v>653</v>
      </c>
      <c r="E81" s="40">
        <v>137000</v>
      </c>
      <c r="F81" s="66"/>
      <c r="K81" s="108">
        <v>0</v>
      </c>
      <c r="L81" s="66">
        <f t="shared" si="2"/>
        <v>1096000</v>
      </c>
      <c r="M81" s="153">
        <f>-PMT('Interface - Substantial impacts'!$I$42,'Interface - Substantial impacts'!$I$40,'DW Facility data'!L81)</f>
        <v>85354.934885841154</v>
      </c>
      <c r="N81" s="169">
        <f t="shared" si="3"/>
        <v>77158.400000000009</v>
      </c>
      <c r="O81" s="85">
        <v>158352</v>
      </c>
      <c r="P81" s="81">
        <v>77143</v>
      </c>
      <c r="V81" s="103" t="s">
        <v>1487</v>
      </c>
      <c r="W81" s="68">
        <v>501</v>
      </c>
    </row>
    <row r="82" spans="1:23" x14ac:dyDescent="0.25">
      <c r="A82" s="40">
        <v>1110008</v>
      </c>
      <c r="B82" s="40" t="s">
        <v>1912</v>
      </c>
      <c r="C82" s="68">
        <v>294</v>
      </c>
      <c r="D82" s="111">
        <v>246</v>
      </c>
      <c r="E82" s="40">
        <v>73000</v>
      </c>
      <c r="F82" s="66"/>
      <c r="K82" s="108">
        <v>0</v>
      </c>
      <c r="L82" s="66">
        <f t="shared" si="2"/>
        <v>584000</v>
      </c>
      <c r="M82" s="153">
        <f>-PMT('Interface - Substantial impacts'!$I$42,'Interface - Substantial impacts'!$I$40,'DW Facility data'!L82)</f>
        <v>45481.096690995648</v>
      </c>
      <c r="N82" s="169">
        <f t="shared" si="3"/>
        <v>41113.600000000006</v>
      </c>
      <c r="O82" s="85">
        <v>192126</v>
      </c>
      <c r="P82" s="81">
        <v>19831</v>
      </c>
      <c r="V82" s="103" t="s">
        <v>1929</v>
      </c>
      <c r="W82" s="68">
        <v>3430</v>
      </c>
    </row>
    <row r="83" spans="1:23" x14ac:dyDescent="0.25">
      <c r="A83" s="108">
        <v>1110011</v>
      </c>
      <c r="B83" s="108" t="s">
        <v>1864</v>
      </c>
      <c r="C83" s="68">
        <v>391</v>
      </c>
      <c r="D83" s="111">
        <v>214</v>
      </c>
      <c r="E83" s="40">
        <v>73000</v>
      </c>
      <c r="F83" s="66"/>
      <c r="K83" s="108">
        <v>0</v>
      </c>
      <c r="L83" s="66">
        <f t="shared" si="2"/>
        <v>584000</v>
      </c>
      <c r="M83" s="153">
        <f>-PMT('Interface - Substantial impacts'!$I$42,'Interface - Substantial impacts'!$I$40,'DW Facility data'!L83)</f>
        <v>45481.096690995648</v>
      </c>
      <c r="N83" s="169">
        <f t="shared" si="3"/>
        <v>41113.600000000006</v>
      </c>
      <c r="O83" s="104">
        <v>98394</v>
      </c>
      <c r="P83" s="81">
        <v>4742</v>
      </c>
      <c r="V83" s="109"/>
      <c r="W83" s="69"/>
    </row>
    <row r="84" spans="1:23" x14ac:dyDescent="0.25">
      <c r="A84" s="40">
        <v>1110013</v>
      </c>
      <c r="B84" s="40" t="s">
        <v>1759</v>
      </c>
      <c r="C84" s="68">
        <v>966</v>
      </c>
      <c r="D84" s="111">
        <v>609</v>
      </c>
      <c r="E84" s="40">
        <v>460000</v>
      </c>
      <c r="F84" s="66"/>
      <c r="K84" s="108">
        <v>0</v>
      </c>
      <c r="L84" s="66">
        <f t="shared" si="2"/>
        <v>3680000</v>
      </c>
      <c r="M84" s="153">
        <f>-PMT('Interface - Substantial impacts'!$I$42,'Interface - Substantial impacts'!$I$40,'DW Facility data'!L84)</f>
        <v>286593.21202545206</v>
      </c>
      <c r="N84" s="169">
        <f t="shared" si="3"/>
        <v>259072.00000000003</v>
      </c>
      <c r="O84" s="85">
        <v>273820</v>
      </c>
      <c r="P84" s="81">
        <v>104847</v>
      </c>
      <c r="V84" s="103" t="s">
        <v>1011</v>
      </c>
      <c r="W84" s="68">
        <v>506</v>
      </c>
    </row>
    <row r="85" spans="1:23" x14ac:dyDescent="0.25">
      <c r="A85" s="40">
        <v>1110019</v>
      </c>
      <c r="B85" s="40" t="s">
        <v>1722</v>
      </c>
      <c r="C85" s="68">
        <v>911</v>
      </c>
      <c r="D85" s="111">
        <v>563</v>
      </c>
      <c r="E85" s="40">
        <v>255000</v>
      </c>
      <c r="F85" s="66"/>
      <c r="K85" s="108">
        <v>0</v>
      </c>
      <c r="L85" s="66">
        <f t="shared" si="2"/>
        <v>2040000</v>
      </c>
      <c r="M85" s="153">
        <f>-PMT('Interface - Substantial impacts'!$I$42,'Interface - Substantial impacts'!$I$40,'DW Facility data'!L85)</f>
        <v>158872.32405758754</v>
      </c>
      <c r="N85" s="169">
        <f t="shared" si="3"/>
        <v>143616</v>
      </c>
      <c r="O85" s="85">
        <v>98410</v>
      </c>
      <c r="P85" s="81">
        <v>43690</v>
      </c>
      <c r="V85" s="103" t="s">
        <v>1589</v>
      </c>
      <c r="W85" s="68">
        <v>348</v>
      </c>
    </row>
    <row r="86" spans="1:23" x14ac:dyDescent="0.25">
      <c r="A86" s="40">
        <v>1110030</v>
      </c>
      <c r="B86" s="40" t="s">
        <v>1760</v>
      </c>
      <c r="C86" s="68">
        <v>507</v>
      </c>
      <c r="D86" s="111">
        <v>181</v>
      </c>
      <c r="E86" s="40">
        <v>115700</v>
      </c>
      <c r="F86" s="66"/>
      <c r="K86" s="108">
        <v>0</v>
      </c>
      <c r="L86" s="66">
        <f t="shared" si="2"/>
        <v>925600</v>
      </c>
      <c r="M86" s="153">
        <f>-PMT('Interface - Substantial impacts'!$I$42,'Interface - Substantial impacts'!$I$40,'DW Facility data'!L86)</f>
        <v>72084.423111619137</v>
      </c>
      <c r="N86" s="169">
        <f t="shared" si="3"/>
        <v>65162.240000000005</v>
      </c>
      <c r="O86" s="85">
        <v>143942</v>
      </c>
      <c r="P86" s="81">
        <v>50039</v>
      </c>
      <c r="V86" s="103" t="s">
        <v>1827</v>
      </c>
      <c r="W86" s="68">
        <v>132</v>
      </c>
    </row>
    <row r="87" spans="1:23" x14ac:dyDescent="0.25">
      <c r="A87" s="40">
        <v>1120001</v>
      </c>
      <c r="B87" s="40" t="s">
        <v>1021</v>
      </c>
      <c r="C87" s="68">
        <v>1423</v>
      </c>
      <c r="D87" s="111">
        <v>679</v>
      </c>
      <c r="E87" s="40">
        <v>206900</v>
      </c>
      <c r="F87" s="66"/>
      <c r="K87" s="108">
        <v>0</v>
      </c>
      <c r="L87" s="66">
        <f t="shared" si="2"/>
        <v>1655200</v>
      </c>
      <c r="M87" s="153">
        <f>-PMT('Interface - Substantial impacts'!$I$42,'Interface - Substantial impacts'!$I$40,'DW Facility data'!L87)</f>
        <v>128904.64253927398</v>
      </c>
      <c r="N87" s="169">
        <f t="shared" si="3"/>
        <v>116526.08</v>
      </c>
      <c r="O87" s="85">
        <v>271683</v>
      </c>
      <c r="P87" s="81">
        <v>155893</v>
      </c>
      <c r="V87" s="103" t="s">
        <v>1777</v>
      </c>
      <c r="W87" s="68">
        <v>33782</v>
      </c>
    </row>
    <row r="88" spans="1:23" x14ac:dyDescent="0.25">
      <c r="A88" s="40">
        <v>1120002</v>
      </c>
      <c r="B88" s="40" t="s">
        <v>1127</v>
      </c>
      <c r="C88" s="68">
        <v>319</v>
      </c>
      <c r="D88" s="111">
        <v>215</v>
      </c>
      <c r="E88" s="40">
        <v>107000</v>
      </c>
      <c r="F88" s="66"/>
      <c r="K88" s="108">
        <v>0</v>
      </c>
      <c r="L88" s="66">
        <f t="shared" si="2"/>
        <v>856000</v>
      </c>
      <c r="M88" s="153">
        <f>-PMT('Interface - Substantial impacts'!$I$42,'Interface - Substantial impacts'!$I$40,'DW Facility data'!L88)</f>
        <v>66664.073232007329</v>
      </c>
      <c r="N88" s="169">
        <f t="shared" si="3"/>
        <v>60262.400000000001</v>
      </c>
      <c r="O88" s="85">
        <v>85794</v>
      </c>
      <c r="P88" s="81">
        <v>55195</v>
      </c>
      <c r="V88" s="103" t="s">
        <v>1454</v>
      </c>
      <c r="W88" s="68">
        <v>86478</v>
      </c>
    </row>
    <row r="89" spans="1:23" x14ac:dyDescent="0.25">
      <c r="A89" s="40">
        <v>1120003</v>
      </c>
      <c r="B89" s="40" t="s">
        <v>1883</v>
      </c>
      <c r="C89" s="68">
        <v>428</v>
      </c>
      <c r="D89" s="111">
        <v>173</v>
      </c>
      <c r="E89" s="40">
        <v>60000</v>
      </c>
      <c r="F89" s="66"/>
      <c r="K89" s="108">
        <v>0</v>
      </c>
      <c r="L89" s="66">
        <f t="shared" si="2"/>
        <v>480000</v>
      </c>
      <c r="M89" s="153">
        <f>-PMT('Interface - Substantial impacts'!$I$42,'Interface - Substantial impacts'!$I$40,'DW Facility data'!L89)</f>
        <v>37381.723307667657</v>
      </c>
      <c r="N89" s="169">
        <f t="shared" si="3"/>
        <v>33792</v>
      </c>
      <c r="O89" s="85">
        <v>166388</v>
      </c>
      <c r="P89" s="81">
        <v>62275</v>
      </c>
      <c r="V89" s="103" t="s">
        <v>1670</v>
      </c>
      <c r="W89" s="68">
        <v>626</v>
      </c>
    </row>
    <row r="90" spans="1:23" x14ac:dyDescent="0.25">
      <c r="A90" s="40">
        <v>1120004</v>
      </c>
      <c r="B90" s="40" t="s">
        <v>1135</v>
      </c>
      <c r="C90" s="68">
        <v>5398</v>
      </c>
      <c r="D90" s="112">
        <v>2599</v>
      </c>
      <c r="E90" s="40">
        <v>919000</v>
      </c>
      <c r="F90" s="66"/>
      <c r="K90" s="108">
        <v>0</v>
      </c>
      <c r="L90" s="66">
        <f t="shared" si="2"/>
        <v>7352000</v>
      </c>
      <c r="M90" s="153">
        <f>-PMT('Interface - Substantial impacts'!$I$42,'Interface - Substantial impacts'!$I$40,'DW Facility data'!L90)</f>
        <v>572563.39532910963</v>
      </c>
      <c r="N90" s="169">
        <f t="shared" si="3"/>
        <v>517580.80000000005</v>
      </c>
      <c r="O90" s="85">
        <v>2032672</v>
      </c>
      <c r="P90" s="81">
        <v>970381</v>
      </c>
      <c r="V90" s="115" t="s">
        <v>1597</v>
      </c>
      <c r="W90" s="107">
        <v>839</v>
      </c>
    </row>
    <row r="91" spans="1:23" x14ac:dyDescent="0.25">
      <c r="A91" s="40">
        <v>1120006</v>
      </c>
      <c r="B91" s="40" t="s">
        <v>1875</v>
      </c>
      <c r="C91" s="68">
        <v>182</v>
      </c>
      <c r="D91" s="111">
        <v>97</v>
      </c>
      <c r="E91" s="40">
        <v>25000</v>
      </c>
      <c r="F91" s="66"/>
      <c r="K91" s="108">
        <v>0</v>
      </c>
      <c r="L91" s="66">
        <f t="shared" si="2"/>
        <v>200000</v>
      </c>
      <c r="M91" s="153">
        <f>-PMT('Interface - Substantial impacts'!$I$42,'Interface - Substantial impacts'!$I$40,'DW Facility data'!L91)</f>
        <v>15575.718044861525</v>
      </c>
      <c r="N91" s="169">
        <f t="shared" si="3"/>
        <v>14080</v>
      </c>
      <c r="O91" s="85">
        <v>74447</v>
      </c>
      <c r="P91" s="81">
        <v>34168</v>
      </c>
      <c r="V91" s="103" t="s">
        <v>1561</v>
      </c>
      <c r="W91" s="68">
        <v>558</v>
      </c>
    </row>
    <row r="92" spans="1:23" x14ac:dyDescent="0.25">
      <c r="A92" s="40">
        <v>1130001</v>
      </c>
      <c r="B92" s="40" t="s">
        <v>1809</v>
      </c>
      <c r="C92" s="68">
        <v>629</v>
      </c>
      <c r="D92" s="111">
        <v>319</v>
      </c>
      <c r="E92" s="40">
        <v>97200</v>
      </c>
      <c r="F92" s="66"/>
      <c r="K92" s="108">
        <v>0</v>
      </c>
      <c r="L92" s="66">
        <f t="shared" si="2"/>
        <v>777600</v>
      </c>
      <c r="M92" s="153">
        <f>-PMT('Interface - Substantial impacts'!$I$42,'Interface - Substantial impacts'!$I$40,'DW Facility data'!L92)</f>
        <v>60558.391758421603</v>
      </c>
      <c r="N92" s="169">
        <f t="shared" si="3"/>
        <v>54743.040000000001</v>
      </c>
      <c r="O92" s="85">
        <v>35900</v>
      </c>
      <c r="P92" s="81">
        <v>18525</v>
      </c>
      <c r="V92" s="103" t="s">
        <v>1554</v>
      </c>
      <c r="W92" s="68">
        <v>633</v>
      </c>
    </row>
    <row r="93" spans="1:23" x14ac:dyDescent="0.25">
      <c r="A93" s="40">
        <v>1130003</v>
      </c>
      <c r="B93" s="40" t="s">
        <v>1811</v>
      </c>
      <c r="C93" s="68">
        <v>5558</v>
      </c>
      <c r="D93" s="112">
        <v>2346</v>
      </c>
      <c r="E93" s="40">
        <v>759000</v>
      </c>
      <c r="F93" s="66"/>
      <c r="K93" s="108">
        <v>0</v>
      </c>
      <c r="L93" s="66">
        <f t="shared" si="2"/>
        <v>6072000</v>
      </c>
      <c r="M93" s="153">
        <f>-PMT('Interface - Substantial impacts'!$I$42,'Interface - Substantial impacts'!$I$40,'DW Facility data'!L93)</f>
        <v>472878.79984199582</v>
      </c>
      <c r="N93" s="169">
        <f t="shared" si="3"/>
        <v>427468.80000000005</v>
      </c>
      <c r="O93" s="85">
        <v>498460</v>
      </c>
      <c r="P93" s="81">
        <v>6801</v>
      </c>
      <c r="V93" s="103" t="s">
        <v>1632</v>
      </c>
      <c r="W93" s="68">
        <v>731</v>
      </c>
    </row>
    <row r="94" spans="1:23" x14ac:dyDescent="0.25">
      <c r="A94" s="40">
        <v>1130005</v>
      </c>
      <c r="B94" s="40" t="s">
        <v>1860</v>
      </c>
      <c r="C94" s="68">
        <v>1111</v>
      </c>
      <c r="D94" s="111">
        <v>429</v>
      </c>
      <c r="E94" s="40">
        <v>74000</v>
      </c>
      <c r="F94" s="66"/>
      <c r="K94" s="108">
        <v>0</v>
      </c>
      <c r="L94" s="66">
        <f t="shared" si="2"/>
        <v>592000</v>
      </c>
      <c r="M94" s="153">
        <f>-PMT('Interface - Substantial impacts'!$I$42,'Interface - Substantial impacts'!$I$40,'DW Facility data'!L94)</f>
        <v>46104.125412790112</v>
      </c>
      <c r="N94" s="169">
        <f t="shared" si="3"/>
        <v>41676.800000000003</v>
      </c>
      <c r="O94" s="85">
        <v>152194</v>
      </c>
      <c r="P94" s="81">
        <v>52260</v>
      </c>
      <c r="V94" s="103" t="s">
        <v>1823</v>
      </c>
      <c r="W94" s="68">
        <v>307</v>
      </c>
    </row>
    <row r="95" spans="1:23" x14ac:dyDescent="0.25">
      <c r="A95" s="40">
        <v>1130007</v>
      </c>
      <c r="B95" s="40" t="s">
        <v>1636</v>
      </c>
      <c r="C95" s="68">
        <v>4888</v>
      </c>
      <c r="D95" s="112">
        <v>1757</v>
      </c>
      <c r="E95" s="40">
        <v>670000</v>
      </c>
      <c r="F95" s="66"/>
      <c r="K95" s="108">
        <v>0</v>
      </c>
      <c r="L95" s="66">
        <f t="shared" si="2"/>
        <v>5360000</v>
      </c>
      <c r="M95" s="153">
        <f>-PMT('Interface - Substantial impacts'!$I$42,'Interface - Substantial impacts'!$I$40,'DW Facility data'!L95)</f>
        <v>417429.24360228889</v>
      </c>
      <c r="N95" s="169">
        <f t="shared" si="3"/>
        <v>377344</v>
      </c>
      <c r="O95" s="85">
        <v>519811</v>
      </c>
      <c r="P95" s="81">
        <v>0</v>
      </c>
      <c r="V95" s="103" t="s">
        <v>1013</v>
      </c>
      <c r="W95" s="68">
        <v>16168</v>
      </c>
    </row>
    <row r="96" spans="1:23" x14ac:dyDescent="0.25">
      <c r="A96" s="40">
        <v>1130011</v>
      </c>
      <c r="B96" s="40" t="s">
        <v>1449</v>
      </c>
      <c r="C96" s="68">
        <v>10787</v>
      </c>
      <c r="D96" s="112">
        <v>4064</v>
      </c>
      <c r="E96" s="40">
        <v>1214000</v>
      </c>
      <c r="F96" s="66"/>
      <c r="K96" s="108">
        <v>0</v>
      </c>
      <c r="L96" s="66">
        <f t="shared" si="2"/>
        <v>9712000</v>
      </c>
      <c r="M96" s="153">
        <f>-PMT('Interface - Substantial impacts'!$I$42,'Interface - Substantial impacts'!$I$40,'DW Facility data'!L96)</f>
        <v>756356.86825847556</v>
      </c>
      <c r="N96" s="169">
        <f t="shared" si="3"/>
        <v>683724.80000000005</v>
      </c>
      <c r="O96" s="85">
        <v>1407444</v>
      </c>
      <c r="P96" s="81">
        <v>883722</v>
      </c>
      <c r="V96" s="103" t="s">
        <v>1677</v>
      </c>
      <c r="W96" s="68">
        <v>660</v>
      </c>
    </row>
    <row r="97" spans="1:23" x14ac:dyDescent="0.25">
      <c r="A97" s="40">
        <v>1130013</v>
      </c>
      <c r="B97" s="40" t="s">
        <v>1518</v>
      </c>
      <c r="C97" s="68">
        <v>3228</v>
      </c>
      <c r="D97" s="111">
        <v>988</v>
      </c>
      <c r="E97" s="40">
        <v>687000</v>
      </c>
      <c r="F97" s="66"/>
      <c r="K97" s="108">
        <v>0</v>
      </c>
      <c r="L97" s="66">
        <f t="shared" si="2"/>
        <v>5496000</v>
      </c>
      <c r="M97" s="153">
        <f>-PMT('Interface - Substantial impacts'!$I$42,'Interface - Substantial impacts'!$I$40,'DW Facility data'!L97)</f>
        <v>428020.73187279474</v>
      </c>
      <c r="N97" s="169">
        <f t="shared" si="3"/>
        <v>386918.40000000002</v>
      </c>
      <c r="O97" s="85">
        <v>442430</v>
      </c>
      <c r="P97" s="81">
        <v>62485</v>
      </c>
      <c r="V97" s="103" t="s">
        <v>1774</v>
      </c>
      <c r="W97" s="68">
        <v>952</v>
      </c>
    </row>
    <row r="98" spans="1:23" x14ac:dyDescent="0.25">
      <c r="A98" s="40">
        <v>1130014</v>
      </c>
      <c r="B98" s="40" t="s">
        <v>1750</v>
      </c>
      <c r="C98" s="68">
        <v>1142</v>
      </c>
      <c r="D98" s="111">
        <v>413</v>
      </c>
      <c r="E98" s="40">
        <v>106000</v>
      </c>
      <c r="F98" s="66"/>
      <c r="K98" s="108">
        <v>0</v>
      </c>
      <c r="L98" s="66">
        <f t="shared" si="2"/>
        <v>848000</v>
      </c>
      <c r="M98" s="153">
        <f>-PMT('Interface - Substantial impacts'!$I$42,'Interface - Substantial impacts'!$I$40,'DW Facility data'!L98)</f>
        <v>66041.044510212858</v>
      </c>
      <c r="N98" s="169">
        <f t="shared" si="3"/>
        <v>59699.200000000004</v>
      </c>
      <c r="O98" s="85">
        <v>220672</v>
      </c>
      <c r="P98" s="81">
        <v>61091</v>
      </c>
      <c r="V98" s="103" t="s">
        <v>1451</v>
      </c>
      <c r="W98" s="68">
        <v>64317</v>
      </c>
    </row>
    <row r="99" spans="1:23" x14ac:dyDescent="0.25">
      <c r="A99" s="40">
        <v>1130016</v>
      </c>
      <c r="B99" s="40" t="s">
        <v>1751</v>
      </c>
      <c r="C99" s="68">
        <v>1703</v>
      </c>
      <c r="D99" s="111">
        <v>656</v>
      </c>
      <c r="E99" s="40">
        <v>339000</v>
      </c>
      <c r="F99" s="66"/>
      <c r="K99" s="108">
        <v>0</v>
      </c>
      <c r="L99" s="66">
        <f t="shared" si="2"/>
        <v>2712000</v>
      </c>
      <c r="M99" s="153">
        <f>-PMT('Interface - Substantial impacts'!$I$42,'Interface - Substantial impacts'!$I$40,'DW Facility data'!L99)</f>
        <v>211206.73668832227</v>
      </c>
      <c r="N99" s="169">
        <f t="shared" si="3"/>
        <v>190924.80000000002</v>
      </c>
      <c r="O99" s="85">
        <v>257458</v>
      </c>
      <c r="P99" s="81">
        <v>126040</v>
      </c>
      <c r="V99" s="103" t="s">
        <v>2020</v>
      </c>
      <c r="W99" s="68">
        <v>601</v>
      </c>
    </row>
    <row r="100" spans="1:23" x14ac:dyDescent="0.25">
      <c r="A100" s="40">
        <v>1130017</v>
      </c>
      <c r="B100" s="40" t="s">
        <v>1601</v>
      </c>
      <c r="C100" s="68">
        <v>1055</v>
      </c>
      <c r="D100" s="111">
        <v>576</v>
      </c>
      <c r="E100" s="40">
        <v>136900</v>
      </c>
      <c r="F100" s="66"/>
      <c r="K100" s="108">
        <v>0</v>
      </c>
      <c r="L100" s="66">
        <f t="shared" si="2"/>
        <v>1095200</v>
      </c>
      <c r="M100" s="153">
        <f>-PMT('Interface - Substantial impacts'!$I$42,'Interface - Substantial impacts'!$I$40,'DW Facility data'!L100)</f>
        <v>85292.632013661714</v>
      </c>
      <c r="N100" s="169">
        <f t="shared" si="3"/>
        <v>77102.080000000002</v>
      </c>
      <c r="O100" s="85">
        <v>119053</v>
      </c>
      <c r="P100" s="81">
        <v>66889</v>
      </c>
      <c r="V100" s="103" t="s">
        <v>1546</v>
      </c>
      <c r="W100" s="68">
        <v>6312</v>
      </c>
    </row>
    <row r="101" spans="1:23" x14ac:dyDescent="0.25">
      <c r="A101" s="40">
        <v>1130018</v>
      </c>
      <c r="B101" s="40" t="s">
        <v>1519</v>
      </c>
      <c r="C101" s="68">
        <v>8032</v>
      </c>
      <c r="D101" s="112">
        <v>2855</v>
      </c>
      <c r="E101" s="40">
        <v>899000</v>
      </c>
      <c r="F101" s="43">
        <v>8057500</v>
      </c>
      <c r="K101" s="108">
        <v>8057500</v>
      </c>
      <c r="L101" s="66">
        <f t="shared" si="2"/>
        <v>7192000</v>
      </c>
      <c r="M101" s="153">
        <f>-PMT('Interface - Substantial impacts'!$I$42,'Interface - Substantial impacts'!$I$40,'DW Facility data'!L101)</f>
        <v>560102.82089322049</v>
      </c>
      <c r="N101" s="169">
        <f t="shared" si="3"/>
        <v>506316.80000000005</v>
      </c>
      <c r="O101" s="85">
        <v>629834</v>
      </c>
      <c r="P101" s="81">
        <v>221153</v>
      </c>
      <c r="V101" s="103" t="s">
        <v>1015</v>
      </c>
      <c r="W101" s="68">
        <v>2847</v>
      </c>
    </row>
    <row r="102" spans="1:23" x14ac:dyDescent="0.25">
      <c r="A102" s="40">
        <v>1140001</v>
      </c>
      <c r="B102" s="40" t="s">
        <v>999</v>
      </c>
      <c r="C102" s="68">
        <v>2759</v>
      </c>
      <c r="D102" s="112">
        <v>1010</v>
      </c>
      <c r="E102" s="40">
        <v>600000</v>
      </c>
      <c r="F102" s="17"/>
      <c r="K102" s="108">
        <v>0</v>
      </c>
      <c r="L102" s="66">
        <f t="shared" si="2"/>
        <v>4800000</v>
      </c>
      <c r="M102" s="153">
        <f>-PMT('Interface - Substantial impacts'!$I$42,'Interface - Substantial impacts'!$I$40,'DW Facility data'!L102)</f>
        <v>373817.23307667655</v>
      </c>
      <c r="N102" s="169">
        <f t="shared" si="3"/>
        <v>337920</v>
      </c>
      <c r="O102" s="85">
        <v>401687</v>
      </c>
      <c r="P102" s="81">
        <v>94962</v>
      </c>
      <c r="V102" s="103" t="s">
        <v>1851</v>
      </c>
      <c r="W102" s="68">
        <v>178</v>
      </c>
    </row>
    <row r="103" spans="1:23" x14ac:dyDescent="0.25">
      <c r="A103" s="40">
        <v>1140002</v>
      </c>
      <c r="B103" s="40" t="s">
        <v>1684</v>
      </c>
      <c r="C103" s="68">
        <v>100</v>
      </c>
      <c r="D103" s="111">
        <v>37</v>
      </c>
      <c r="E103" s="40">
        <v>20000</v>
      </c>
      <c r="F103" s="66"/>
      <c r="K103" s="108">
        <v>0</v>
      </c>
      <c r="L103" s="66">
        <f t="shared" si="2"/>
        <v>160000</v>
      </c>
      <c r="M103" s="153">
        <f>-PMT('Interface - Substantial impacts'!$I$42,'Interface - Substantial impacts'!$I$40,'DW Facility data'!L103)</f>
        <v>12460.574435889221</v>
      </c>
      <c r="N103" s="169">
        <f t="shared" si="3"/>
        <v>11264</v>
      </c>
      <c r="O103" s="85">
        <v>12875</v>
      </c>
      <c r="P103" s="81">
        <v>0</v>
      </c>
      <c r="V103" s="103" t="s">
        <v>1544</v>
      </c>
      <c r="W103" s="68">
        <v>334</v>
      </c>
    </row>
    <row r="104" spans="1:23" x14ac:dyDescent="0.25">
      <c r="A104" s="40">
        <v>1140003</v>
      </c>
      <c r="B104" s="40" t="s">
        <v>2034</v>
      </c>
      <c r="C104" s="68">
        <v>4612</v>
      </c>
      <c r="D104" s="112">
        <v>1955</v>
      </c>
      <c r="E104" s="40">
        <v>550000</v>
      </c>
      <c r="F104" s="66"/>
      <c r="K104" s="108">
        <v>0</v>
      </c>
      <c r="L104" s="66">
        <f t="shared" si="2"/>
        <v>4400000</v>
      </c>
      <c r="M104" s="153">
        <f>-PMT('Interface - Substantial impacts'!$I$42,'Interface - Substantial impacts'!$I$40,'DW Facility data'!L104)</f>
        <v>342665.79698695353</v>
      </c>
      <c r="N104" s="169">
        <f t="shared" si="3"/>
        <v>309760</v>
      </c>
      <c r="O104" s="85">
        <v>779069</v>
      </c>
      <c r="P104" s="81">
        <v>0</v>
      </c>
      <c r="V104" s="103" t="s">
        <v>1726</v>
      </c>
      <c r="W104" s="68">
        <v>9611</v>
      </c>
    </row>
    <row r="105" spans="1:23" x14ac:dyDescent="0.25">
      <c r="A105" s="40">
        <v>1140005</v>
      </c>
      <c r="B105" s="40" t="s">
        <v>1484</v>
      </c>
      <c r="C105" s="68">
        <v>1306</v>
      </c>
      <c r="D105" s="111">
        <v>488</v>
      </c>
      <c r="E105" s="40">
        <v>280000</v>
      </c>
      <c r="F105" s="66"/>
      <c r="K105" s="108">
        <v>0</v>
      </c>
      <c r="L105" s="66">
        <f t="shared" si="2"/>
        <v>2240000</v>
      </c>
      <c r="M105" s="153">
        <f>-PMT('Interface - Substantial impacts'!$I$42,'Interface - Substantial impacts'!$I$40,'DW Facility data'!L105)</f>
        <v>174448.04210244908</v>
      </c>
      <c r="N105" s="169">
        <f t="shared" si="3"/>
        <v>157696</v>
      </c>
      <c r="O105" s="85">
        <v>272750</v>
      </c>
      <c r="P105" s="81">
        <v>159842</v>
      </c>
      <c r="V105" s="103" t="s">
        <v>1998</v>
      </c>
      <c r="W105" s="68">
        <v>164</v>
      </c>
    </row>
    <row r="106" spans="1:23" x14ac:dyDescent="0.25">
      <c r="A106" s="40">
        <v>1140006</v>
      </c>
      <c r="B106" s="40" t="s">
        <v>1073</v>
      </c>
      <c r="C106" s="68">
        <v>2219</v>
      </c>
      <c r="D106" s="111">
        <v>899</v>
      </c>
      <c r="E106" s="40">
        <v>707000</v>
      </c>
      <c r="F106" s="66"/>
      <c r="K106" s="108">
        <v>0</v>
      </c>
      <c r="L106" s="66">
        <f t="shared" si="2"/>
        <v>5656000</v>
      </c>
      <c r="M106" s="153">
        <f>-PMT('Interface - Substantial impacts'!$I$42,'Interface - Substantial impacts'!$I$40,'DW Facility data'!L106)</f>
        <v>440481.30630868394</v>
      </c>
      <c r="N106" s="169">
        <f t="shared" si="3"/>
        <v>398182.40000000002</v>
      </c>
      <c r="O106" s="85">
        <v>245131</v>
      </c>
      <c r="P106" s="81">
        <v>45447</v>
      </c>
      <c r="V106" s="103" t="s">
        <v>1528</v>
      </c>
      <c r="W106" s="68">
        <v>1695</v>
      </c>
    </row>
    <row r="107" spans="1:23" x14ac:dyDescent="0.25">
      <c r="A107" s="40">
        <v>1140007</v>
      </c>
      <c r="B107" s="40" t="s">
        <v>1624</v>
      </c>
      <c r="C107" s="68">
        <v>199</v>
      </c>
      <c r="D107" s="111">
        <v>149</v>
      </c>
      <c r="E107" s="40">
        <v>110000</v>
      </c>
      <c r="F107" s="66"/>
      <c r="K107" s="108">
        <v>0</v>
      </c>
      <c r="L107" s="66">
        <f t="shared" si="2"/>
        <v>880000</v>
      </c>
      <c r="M107" s="153">
        <f>-PMT('Interface - Substantial impacts'!$I$42,'Interface - Substantial impacts'!$I$40,'DW Facility data'!L107)</f>
        <v>68533.159397390715</v>
      </c>
      <c r="N107" s="169">
        <f t="shared" si="3"/>
        <v>61952.000000000007</v>
      </c>
      <c r="O107" s="85">
        <v>77249</v>
      </c>
      <c r="P107" s="81">
        <v>18407</v>
      </c>
      <c r="V107" s="103" t="s">
        <v>1650</v>
      </c>
      <c r="W107" s="68">
        <v>4220</v>
      </c>
    </row>
    <row r="108" spans="1:23" x14ac:dyDescent="0.25">
      <c r="A108" s="40">
        <v>1140008</v>
      </c>
      <c r="B108" s="40" t="s">
        <v>1485</v>
      </c>
      <c r="C108" s="68">
        <v>44505</v>
      </c>
      <c r="D108" s="112">
        <v>18245</v>
      </c>
      <c r="E108" s="40">
        <v>9200000</v>
      </c>
      <c r="F108" s="43">
        <v>6347040</v>
      </c>
      <c r="K108" s="108">
        <v>6347040</v>
      </c>
      <c r="L108" s="66">
        <f t="shared" si="2"/>
        <v>73600000</v>
      </c>
      <c r="M108" s="153">
        <f>-PMT('Interface - Substantial impacts'!$I$42,'Interface - Substantial impacts'!$I$40,'DW Facility data'!L108)</f>
        <v>5731864.2405090407</v>
      </c>
      <c r="N108" s="169">
        <f t="shared" si="3"/>
        <v>5181440</v>
      </c>
      <c r="O108" s="85">
        <v>6764822</v>
      </c>
      <c r="P108" s="81">
        <v>2688130</v>
      </c>
      <c r="V108" s="103" t="s">
        <v>1017</v>
      </c>
      <c r="W108" s="68">
        <v>310</v>
      </c>
    </row>
    <row r="109" spans="1:23" x14ac:dyDescent="0.25">
      <c r="A109" s="40">
        <v>1140010</v>
      </c>
      <c r="B109" s="40" t="s">
        <v>1867</v>
      </c>
      <c r="C109" s="68">
        <v>619</v>
      </c>
      <c r="D109" s="111">
        <v>212</v>
      </c>
      <c r="E109" s="40">
        <v>0</v>
      </c>
      <c r="K109" s="108">
        <v>0</v>
      </c>
      <c r="L109" s="66">
        <f t="shared" si="2"/>
        <v>0</v>
      </c>
      <c r="M109" s="153">
        <f>-PMT('Interface - Substantial impacts'!$I$42,'Interface - Substantial impacts'!$I$40,'DW Facility data'!L109)</f>
        <v>0</v>
      </c>
      <c r="N109" s="169">
        <f t="shared" si="3"/>
        <v>0</v>
      </c>
      <c r="O109" s="85">
        <v>82020</v>
      </c>
      <c r="P109" s="81">
        <v>96908</v>
      </c>
      <c r="V109" s="103" t="s">
        <v>1919</v>
      </c>
      <c r="W109" s="68">
        <v>497</v>
      </c>
    </row>
    <row r="110" spans="1:23" x14ac:dyDescent="0.25">
      <c r="A110" s="40">
        <v>1140011</v>
      </c>
      <c r="B110" s="40" t="s">
        <v>1889</v>
      </c>
      <c r="C110" s="68">
        <v>476</v>
      </c>
      <c r="D110" s="111">
        <v>241</v>
      </c>
      <c r="E110" s="40">
        <v>225000</v>
      </c>
      <c r="F110" s="66"/>
      <c r="K110" s="108">
        <v>0</v>
      </c>
      <c r="L110" s="66">
        <f t="shared" si="2"/>
        <v>1800000</v>
      </c>
      <c r="M110" s="153">
        <f>-PMT('Interface - Substantial impacts'!$I$42,'Interface - Substantial impacts'!$I$40,'DW Facility data'!L110)</f>
        <v>140181.46240375371</v>
      </c>
      <c r="N110" s="169">
        <f t="shared" si="3"/>
        <v>126720.00000000001</v>
      </c>
      <c r="O110" s="85">
        <v>160749</v>
      </c>
      <c r="P110" s="81">
        <v>1164659</v>
      </c>
      <c r="V110" s="103" t="s">
        <v>1922</v>
      </c>
      <c r="W110" s="68">
        <v>948</v>
      </c>
    </row>
    <row r="111" spans="1:23" x14ac:dyDescent="0.25">
      <c r="A111" s="40">
        <v>1140012</v>
      </c>
      <c r="B111" s="40" t="s">
        <v>1613</v>
      </c>
      <c r="C111" s="68">
        <v>177</v>
      </c>
      <c r="D111" s="111">
        <v>71</v>
      </c>
      <c r="E111" s="40">
        <v>70000</v>
      </c>
      <c r="F111" s="66"/>
      <c r="K111" s="108">
        <v>0</v>
      </c>
      <c r="L111" s="66">
        <f t="shared" si="2"/>
        <v>560000</v>
      </c>
      <c r="M111" s="153">
        <f>-PMT('Interface - Substantial impacts'!$I$42,'Interface - Substantial impacts'!$I$40,'DW Facility data'!L111)</f>
        <v>43612.01052561227</v>
      </c>
      <c r="N111" s="169">
        <f t="shared" si="3"/>
        <v>39424</v>
      </c>
      <c r="O111" s="85">
        <v>7849</v>
      </c>
      <c r="P111" s="81">
        <v>0</v>
      </c>
      <c r="V111" s="103" t="s">
        <v>1831</v>
      </c>
      <c r="W111" s="68">
        <v>5829</v>
      </c>
    </row>
    <row r="112" spans="1:23" x14ac:dyDescent="0.25">
      <c r="A112" s="40">
        <v>1140014</v>
      </c>
      <c r="B112" s="40" t="s">
        <v>1486</v>
      </c>
      <c r="C112" s="68">
        <v>86</v>
      </c>
      <c r="D112" s="111">
        <v>34</v>
      </c>
      <c r="E112" s="40">
        <v>22000</v>
      </c>
      <c r="F112" s="66"/>
      <c r="K112" s="108">
        <v>0</v>
      </c>
      <c r="L112" s="66">
        <f t="shared" si="2"/>
        <v>176000</v>
      </c>
      <c r="M112" s="153">
        <f>-PMT('Interface - Substantial impacts'!$I$42,'Interface - Substantial impacts'!$I$40,'DW Facility data'!L112)</f>
        <v>13706.631879478142</v>
      </c>
      <c r="N112" s="169">
        <f t="shared" si="3"/>
        <v>12390.400000000001</v>
      </c>
      <c r="O112" s="85">
        <v>26915</v>
      </c>
      <c r="P112" s="81">
        <v>0</v>
      </c>
      <c r="V112" s="103" t="s">
        <v>1758</v>
      </c>
      <c r="W112" s="68">
        <v>675</v>
      </c>
    </row>
    <row r="113" spans="1:23" x14ac:dyDescent="0.25">
      <c r="A113" s="109">
        <v>1150001</v>
      </c>
      <c r="B113" s="109" t="s">
        <v>1848</v>
      </c>
      <c r="C113" s="69"/>
      <c r="D113" s="113">
        <v>653</v>
      </c>
      <c r="E113" s="109">
        <v>285000</v>
      </c>
      <c r="F113" s="17"/>
      <c r="G113" s="109"/>
      <c r="H113" s="109"/>
      <c r="I113" s="109"/>
      <c r="J113" s="109"/>
      <c r="K113" s="108">
        <v>0</v>
      </c>
      <c r="L113" s="66">
        <f t="shared" si="2"/>
        <v>2280000</v>
      </c>
      <c r="M113" s="153">
        <f>-PMT('Interface - Substantial impacts'!$I$42,'Interface - Substantial impacts'!$I$40,'DW Facility data'!L113)</f>
        <v>177563.18571142136</v>
      </c>
      <c r="N113" s="169">
        <f t="shared" si="3"/>
        <v>160512</v>
      </c>
      <c r="O113" s="105"/>
      <c r="P113" s="86"/>
      <c r="V113" s="103" t="s">
        <v>1809</v>
      </c>
      <c r="W113" s="68">
        <v>629</v>
      </c>
    </row>
    <row r="114" spans="1:23" x14ac:dyDescent="0.25">
      <c r="A114" s="40">
        <v>1150003</v>
      </c>
      <c r="B114" s="40" t="s">
        <v>1723</v>
      </c>
      <c r="C114" s="68">
        <v>464</v>
      </c>
      <c r="D114" s="111">
        <v>279</v>
      </c>
      <c r="E114" s="40">
        <v>115000</v>
      </c>
      <c r="F114" s="66"/>
      <c r="K114" s="108">
        <v>0</v>
      </c>
      <c r="L114" s="66">
        <f t="shared" si="2"/>
        <v>920000</v>
      </c>
      <c r="M114" s="153">
        <f>-PMT('Interface - Substantial impacts'!$I$42,'Interface - Substantial impacts'!$I$40,'DW Facility data'!L114)</f>
        <v>71648.303006363014</v>
      </c>
      <c r="N114" s="169">
        <f t="shared" si="3"/>
        <v>64768.000000000007</v>
      </c>
      <c r="O114" s="85">
        <v>96320</v>
      </c>
      <c r="P114" s="81">
        <v>2741</v>
      </c>
      <c r="V114" s="103" t="s">
        <v>1748</v>
      </c>
      <c r="W114" s="68">
        <v>3896</v>
      </c>
    </row>
    <row r="115" spans="1:23" x14ac:dyDescent="0.25">
      <c r="A115" s="40">
        <v>1150005</v>
      </c>
      <c r="B115" s="40" t="s">
        <v>1063</v>
      </c>
      <c r="C115" s="68">
        <v>263</v>
      </c>
      <c r="D115" s="111">
        <v>139</v>
      </c>
      <c r="E115" s="40">
        <v>50000</v>
      </c>
      <c r="F115" s="43">
        <v>275000</v>
      </c>
      <c r="K115" s="108">
        <v>275000</v>
      </c>
      <c r="L115" s="66">
        <f t="shared" si="2"/>
        <v>400000</v>
      </c>
      <c r="M115" s="153">
        <f>-PMT('Interface - Substantial impacts'!$I$42,'Interface - Substantial impacts'!$I$40,'DW Facility data'!L115)</f>
        <v>31151.436089723051</v>
      </c>
      <c r="N115" s="169">
        <f t="shared" si="3"/>
        <v>28160</v>
      </c>
      <c r="O115" s="85">
        <v>130164</v>
      </c>
      <c r="P115" s="81">
        <v>19360</v>
      </c>
      <c r="V115" s="103" t="s">
        <v>1503</v>
      </c>
      <c r="W115" s="68">
        <v>303</v>
      </c>
    </row>
    <row r="116" spans="1:23" x14ac:dyDescent="0.25">
      <c r="A116" s="40">
        <v>1160001</v>
      </c>
      <c r="B116" s="40" t="s">
        <v>1783</v>
      </c>
      <c r="C116" s="68">
        <v>1337</v>
      </c>
      <c r="D116" s="111">
        <v>888</v>
      </c>
      <c r="E116" s="40">
        <v>400000</v>
      </c>
      <c r="K116" s="108">
        <v>0</v>
      </c>
      <c r="L116" s="66">
        <f t="shared" si="2"/>
        <v>3200000</v>
      </c>
      <c r="M116" s="153">
        <f>-PMT('Interface - Substantial impacts'!$I$42,'Interface - Substantial impacts'!$I$40,'DW Facility data'!L116)</f>
        <v>249211.48871778441</v>
      </c>
      <c r="N116" s="169">
        <f t="shared" si="3"/>
        <v>225280</v>
      </c>
      <c r="O116" s="85">
        <v>355340</v>
      </c>
      <c r="P116" s="81">
        <v>92618</v>
      </c>
      <c r="V116" s="103" t="s">
        <v>1595</v>
      </c>
      <c r="W116" s="68">
        <v>23919</v>
      </c>
    </row>
    <row r="117" spans="1:23" x14ac:dyDescent="0.25">
      <c r="A117" s="40">
        <v>1170002</v>
      </c>
      <c r="B117" s="40" t="s">
        <v>2002</v>
      </c>
      <c r="C117" s="68">
        <v>349</v>
      </c>
      <c r="D117" s="111">
        <v>208</v>
      </c>
      <c r="E117" s="40">
        <v>51000</v>
      </c>
      <c r="F117" s="66"/>
      <c r="K117" s="108">
        <v>0</v>
      </c>
      <c r="L117" s="66">
        <f t="shared" si="2"/>
        <v>408000</v>
      </c>
      <c r="M117" s="153">
        <f>-PMT('Interface - Substantial impacts'!$I$42,'Interface - Substantial impacts'!$I$40,'DW Facility data'!L117)</f>
        <v>31774.464811517511</v>
      </c>
      <c r="N117" s="169">
        <f t="shared" si="3"/>
        <v>28723.200000000001</v>
      </c>
      <c r="O117" s="85">
        <v>114797</v>
      </c>
      <c r="P117" s="81">
        <v>31743</v>
      </c>
      <c r="V117" s="103" t="s">
        <v>1731</v>
      </c>
      <c r="W117" s="68">
        <v>279</v>
      </c>
    </row>
    <row r="118" spans="1:23" x14ac:dyDescent="0.25">
      <c r="A118" s="40">
        <v>1170003</v>
      </c>
      <c r="B118" s="40" t="s">
        <v>1145</v>
      </c>
      <c r="C118" s="68">
        <v>1999</v>
      </c>
      <c r="D118" s="111">
        <v>895</v>
      </c>
      <c r="E118" s="40">
        <v>412000</v>
      </c>
      <c r="F118" s="66"/>
      <c r="K118" s="108">
        <v>0</v>
      </c>
      <c r="L118" s="66">
        <f t="shared" si="2"/>
        <v>3296000</v>
      </c>
      <c r="M118" s="153">
        <f>-PMT('Interface - Substantial impacts'!$I$42,'Interface - Substantial impacts'!$I$40,'DW Facility data'!L118)</f>
        <v>256687.83337931792</v>
      </c>
      <c r="N118" s="169">
        <f t="shared" si="3"/>
        <v>232038.40000000002</v>
      </c>
      <c r="O118" s="85">
        <v>507796</v>
      </c>
      <c r="P118" s="81">
        <v>334473</v>
      </c>
      <c r="V118" s="103" t="s">
        <v>1829</v>
      </c>
      <c r="W118" s="68">
        <v>25947</v>
      </c>
    </row>
    <row r="119" spans="1:23" x14ac:dyDescent="0.25">
      <c r="A119" s="40">
        <v>1170004</v>
      </c>
      <c r="B119" s="40" t="s">
        <v>2006</v>
      </c>
      <c r="C119" s="68">
        <v>225</v>
      </c>
      <c r="D119" s="111">
        <v>119</v>
      </c>
      <c r="E119" s="40">
        <v>20000</v>
      </c>
      <c r="F119" s="66"/>
      <c r="K119" s="108">
        <v>0</v>
      </c>
      <c r="L119" s="66">
        <f t="shared" si="2"/>
        <v>160000</v>
      </c>
      <c r="M119" s="153">
        <f>-PMT('Interface - Substantial impacts'!$I$42,'Interface - Substantial impacts'!$I$40,'DW Facility data'!L119)</f>
        <v>12460.574435889221</v>
      </c>
      <c r="N119" s="169">
        <f t="shared" si="3"/>
        <v>11264</v>
      </c>
      <c r="O119" s="85">
        <v>144830</v>
      </c>
      <c r="P119" s="81">
        <v>555205</v>
      </c>
      <c r="V119" s="103" t="s">
        <v>1775</v>
      </c>
      <c r="W119" s="68">
        <v>27810</v>
      </c>
    </row>
    <row r="120" spans="1:23" x14ac:dyDescent="0.25">
      <c r="A120" s="40">
        <v>1170005</v>
      </c>
      <c r="B120" s="17" t="s">
        <v>1656</v>
      </c>
      <c r="C120" s="68">
        <v>758</v>
      </c>
      <c r="D120" s="70">
        <v>550</v>
      </c>
      <c r="E120" s="40">
        <v>124000</v>
      </c>
      <c r="F120" s="66"/>
      <c r="K120" s="108">
        <v>0</v>
      </c>
      <c r="L120" s="66">
        <f t="shared" si="2"/>
        <v>992000</v>
      </c>
      <c r="M120" s="153">
        <f>-PMT('Interface - Substantial impacts'!$I$42,'Interface - Substantial impacts'!$I$40,'DW Facility data'!L120)</f>
        <v>77255.56150251317</v>
      </c>
      <c r="N120" s="169">
        <f t="shared" si="3"/>
        <v>69836.800000000003</v>
      </c>
      <c r="O120" s="85">
        <v>190267</v>
      </c>
      <c r="P120" s="81">
        <v>0</v>
      </c>
      <c r="V120" s="103" t="s">
        <v>1574</v>
      </c>
      <c r="W120" s="68">
        <v>2997</v>
      </c>
    </row>
    <row r="121" spans="1:23" x14ac:dyDescent="0.25">
      <c r="A121" s="40">
        <v>1170006</v>
      </c>
      <c r="B121" s="40" t="s">
        <v>1256</v>
      </c>
      <c r="C121" s="68">
        <v>4798</v>
      </c>
      <c r="D121" s="112">
        <v>2047</v>
      </c>
      <c r="E121" s="40">
        <v>1101000</v>
      </c>
      <c r="F121" s="66"/>
      <c r="K121" s="108">
        <v>0</v>
      </c>
      <c r="L121" s="66">
        <f t="shared" si="2"/>
        <v>8808000</v>
      </c>
      <c r="M121" s="153">
        <f>-PMT('Interface - Substantial impacts'!$I$42,'Interface - Substantial impacts'!$I$40,'DW Facility data'!L121)</f>
        <v>685954.62269570155</v>
      </c>
      <c r="N121" s="169">
        <f t="shared" si="3"/>
        <v>620083.20000000007</v>
      </c>
      <c r="O121" s="85">
        <v>1106260</v>
      </c>
      <c r="P121" s="81">
        <v>247972</v>
      </c>
      <c r="V121" s="103" t="s">
        <v>1811</v>
      </c>
      <c r="W121" s="68">
        <v>5558</v>
      </c>
    </row>
    <row r="122" spans="1:23" x14ac:dyDescent="0.25">
      <c r="A122" s="40">
        <v>1170008</v>
      </c>
      <c r="B122" s="40" t="s">
        <v>2032</v>
      </c>
      <c r="C122" s="68">
        <v>137</v>
      </c>
      <c r="D122" s="111">
        <v>61</v>
      </c>
      <c r="E122" s="40">
        <v>40000</v>
      </c>
      <c r="F122" s="66"/>
      <c r="K122" s="108">
        <v>0</v>
      </c>
      <c r="L122" s="66">
        <f t="shared" si="2"/>
        <v>320000</v>
      </c>
      <c r="M122" s="153">
        <f>-PMT('Interface - Substantial impacts'!$I$42,'Interface - Substantial impacts'!$I$40,'DW Facility data'!L122)</f>
        <v>24921.148871778441</v>
      </c>
      <c r="N122" s="169">
        <f t="shared" si="3"/>
        <v>22528</v>
      </c>
      <c r="O122" s="85">
        <v>53135</v>
      </c>
      <c r="P122" s="81">
        <v>0</v>
      </c>
      <c r="V122" s="103" t="s">
        <v>1019</v>
      </c>
      <c r="W122" s="68">
        <v>4775</v>
      </c>
    </row>
    <row r="123" spans="1:23" x14ac:dyDescent="0.25">
      <c r="A123" s="40">
        <v>1170009</v>
      </c>
      <c r="B123" s="109" t="s">
        <v>1578</v>
      </c>
      <c r="C123" s="69"/>
      <c r="D123" s="113"/>
      <c r="E123" s="40">
        <v>1250000</v>
      </c>
      <c r="F123" s="43">
        <v>4864000</v>
      </c>
      <c r="K123" s="108">
        <v>4864000</v>
      </c>
      <c r="L123" s="66">
        <f t="shared" si="2"/>
        <v>10000000</v>
      </c>
      <c r="M123" s="153">
        <f>-PMT('Interface - Substantial impacts'!$I$42,'Interface - Substantial impacts'!$I$40,'DW Facility data'!L123)</f>
        <v>778785.90224307624</v>
      </c>
      <c r="N123" s="169">
        <f t="shared" si="3"/>
        <v>704000</v>
      </c>
      <c r="O123" s="105"/>
      <c r="P123" s="86"/>
      <c r="V123" s="103" t="s">
        <v>1840</v>
      </c>
      <c r="W123" s="68">
        <v>405</v>
      </c>
    </row>
    <row r="124" spans="1:23" x14ac:dyDescent="0.25">
      <c r="A124" s="40">
        <v>1170010</v>
      </c>
      <c r="B124" s="109" t="s">
        <v>2005</v>
      </c>
      <c r="C124" s="69"/>
      <c r="D124" s="113"/>
      <c r="E124" s="109">
        <v>3750</v>
      </c>
      <c r="F124" s="109"/>
      <c r="G124" s="109"/>
      <c r="H124" s="109"/>
      <c r="I124" s="109"/>
      <c r="J124" s="109"/>
      <c r="K124" s="108">
        <v>0</v>
      </c>
      <c r="L124" s="66">
        <f t="shared" si="2"/>
        <v>30000</v>
      </c>
      <c r="M124" s="153">
        <f>-PMT('Interface - Substantial impacts'!$I$42,'Interface - Substantial impacts'!$I$40,'DW Facility data'!L124)</f>
        <v>2336.3577067292285</v>
      </c>
      <c r="N124" s="169">
        <f t="shared" si="3"/>
        <v>2112</v>
      </c>
      <c r="O124" s="105"/>
      <c r="P124" s="86"/>
      <c r="V124" s="103" t="s">
        <v>1637</v>
      </c>
      <c r="W124" s="68">
        <v>5025</v>
      </c>
    </row>
    <row r="125" spans="1:23" x14ac:dyDescent="0.25">
      <c r="A125" s="109">
        <v>1180002</v>
      </c>
      <c r="B125" s="109" t="s">
        <v>1815</v>
      </c>
      <c r="C125" s="69"/>
      <c r="D125" s="112">
        <v>6397</v>
      </c>
      <c r="E125" s="40">
        <v>2622000</v>
      </c>
      <c r="F125" s="43">
        <v>3907000</v>
      </c>
      <c r="K125" s="108">
        <v>3907000</v>
      </c>
      <c r="L125" s="66">
        <f t="shared" si="2"/>
        <v>20976000</v>
      </c>
      <c r="M125" s="153">
        <f>-PMT('Interface - Substantial impacts'!$I$42,'Interface - Substantial impacts'!$I$40,'DW Facility data'!L125)</f>
        <v>1633581.3085450768</v>
      </c>
      <c r="N125" s="169">
        <f t="shared" si="3"/>
        <v>1476710.4000000001</v>
      </c>
      <c r="O125" s="105"/>
      <c r="P125" s="86"/>
      <c r="V125" s="103" t="s">
        <v>1021</v>
      </c>
      <c r="W125" s="68">
        <v>1423</v>
      </c>
    </row>
    <row r="126" spans="1:23" x14ac:dyDescent="0.25">
      <c r="A126" s="40">
        <v>1180008</v>
      </c>
      <c r="B126" s="40" t="s">
        <v>1882</v>
      </c>
      <c r="C126" s="68">
        <v>2360</v>
      </c>
      <c r="D126" s="112">
        <v>1502</v>
      </c>
      <c r="E126" s="40">
        <v>358000</v>
      </c>
      <c r="K126" s="108">
        <v>0</v>
      </c>
      <c r="L126" s="66">
        <f t="shared" si="2"/>
        <v>2864000</v>
      </c>
      <c r="M126" s="153">
        <f>-PMT('Interface - Substantial impacts'!$I$42,'Interface - Substantial impacts'!$I$40,'DW Facility data'!L126)</f>
        <v>223044.28240241701</v>
      </c>
      <c r="N126" s="169">
        <f t="shared" si="3"/>
        <v>201625.60000000001</v>
      </c>
      <c r="O126" s="85">
        <v>459770</v>
      </c>
      <c r="P126" s="81">
        <v>343686</v>
      </c>
      <c r="V126" s="103" t="s">
        <v>1023</v>
      </c>
      <c r="W126" s="68">
        <v>513</v>
      </c>
    </row>
    <row r="127" spans="1:23" x14ac:dyDescent="0.25">
      <c r="A127" s="40">
        <v>1180011</v>
      </c>
      <c r="B127" s="40" t="s">
        <v>1742</v>
      </c>
      <c r="C127" s="68">
        <v>296</v>
      </c>
      <c r="D127" s="111">
        <v>166</v>
      </c>
      <c r="E127" s="40">
        <v>13000</v>
      </c>
      <c r="K127" s="108">
        <v>0</v>
      </c>
      <c r="L127" s="66">
        <f t="shared" si="2"/>
        <v>104000</v>
      </c>
      <c r="M127" s="153">
        <f>-PMT('Interface - Substantial impacts'!$I$42,'Interface - Substantial impacts'!$I$40,'DW Facility data'!L127)</f>
        <v>8099.3733833279921</v>
      </c>
      <c r="N127" s="169">
        <f t="shared" si="3"/>
        <v>7321.6</v>
      </c>
      <c r="O127" s="85">
        <v>19692</v>
      </c>
      <c r="P127" s="81">
        <v>0</v>
      </c>
      <c r="V127" s="103" t="s">
        <v>1891</v>
      </c>
      <c r="W127" s="68">
        <v>661</v>
      </c>
    </row>
    <row r="128" spans="1:23" x14ac:dyDescent="0.25">
      <c r="A128" s="40">
        <v>1180012</v>
      </c>
      <c r="B128" s="40" t="s">
        <v>1933</v>
      </c>
      <c r="C128" s="68">
        <v>526</v>
      </c>
      <c r="D128" s="111">
        <v>342</v>
      </c>
      <c r="E128" s="40">
        <v>112000</v>
      </c>
      <c r="K128" s="108">
        <v>0</v>
      </c>
      <c r="L128" s="66">
        <f t="shared" si="2"/>
        <v>896000</v>
      </c>
      <c r="M128" s="153">
        <f>-PMT('Interface - Substantial impacts'!$I$42,'Interface - Substantial impacts'!$I$40,'DW Facility data'!L128)</f>
        <v>69779.216840979629</v>
      </c>
      <c r="N128" s="169">
        <f t="shared" si="3"/>
        <v>63078.400000000001</v>
      </c>
      <c r="O128" s="85">
        <v>122580</v>
      </c>
      <c r="P128" s="81">
        <v>23704</v>
      </c>
      <c r="V128" s="103" t="s">
        <v>1529</v>
      </c>
      <c r="W128" s="68">
        <v>852</v>
      </c>
    </row>
    <row r="129" spans="1:23" x14ac:dyDescent="0.25">
      <c r="A129" s="40">
        <v>1180017</v>
      </c>
      <c r="B129" s="40" t="s">
        <v>1816</v>
      </c>
      <c r="C129" s="68">
        <v>576</v>
      </c>
      <c r="D129" s="111">
        <v>259</v>
      </c>
      <c r="E129" s="40">
        <v>241000</v>
      </c>
      <c r="F129" s="43">
        <v>2694700</v>
      </c>
      <c r="K129" s="108">
        <v>2694700</v>
      </c>
      <c r="L129" s="66">
        <f t="shared" si="2"/>
        <v>1928000</v>
      </c>
      <c r="M129" s="153">
        <f>-PMT('Interface - Substantial impacts'!$I$42,'Interface - Substantial impacts'!$I$40,'DW Facility data'!L129)</f>
        <v>150149.92195246508</v>
      </c>
      <c r="N129" s="169">
        <f t="shared" si="3"/>
        <v>135731.20000000001</v>
      </c>
      <c r="O129" s="85">
        <v>55557</v>
      </c>
      <c r="P129" s="81">
        <v>24006</v>
      </c>
      <c r="V129" s="103" t="s">
        <v>1704</v>
      </c>
      <c r="W129" s="68">
        <v>694</v>
      </c>
    </row>
    <row r="130" spans="1:23" x14ac:dyDescent="0.25">
      <c r="A130" s="40">
        <v>1180019</v>
      </c>
      <c r="B130" s="40" t="s">
        <v>1676</v>
      </c>
      <c r="C130" s="68">
        <v>2395</v>
      </c>
      <c r="D130" s="112">
        <v>1438</v>
      </c>
      <c r="E130" s="40">
        <v>272000</v>
      </c>
      <c r="K130" s="108">
        <v>0</v>
      </c>
      <c r="L130" s="66">
        <f t="shared" ref="L130:L193" si="4">E130*8</f>
        <v>2176000</v>
      </c>
      <c r="M130" s="153">
        <f>-PMT('Interface - Substantial impacts'!$I$42,'Interface - Substantial impacts'!$I$40,'DW Facility data'!L130)</f>
        <v>169463.81232809337</v>
      </c>
      <c r="N130" s="169">
        <f t="shared" si="3"/>
        <v>153190.40000000002</v>
      </c>
      <c r="O130" s="85">
        <v>195926</v>
      </c>
      <c r="P130" s="81">
        <v>81733</v>
      </c>
      <c r="V130" s="103" t="s">
        <v>1687</v>
      </c>
      <c r="W130" s="68">
        <v>641</v>
      </c>
    </row>
    <row r="131" spans="1:23" x14ac:dyDescent="0.25">
      <c r="A131" s="40">
        <v>1180025</v>
      </c>
      <c r="B131" s="40" t="s">
        <v>1879</v>
      </c>
      <c r="C131" s="68">
        <v>118</v>
      </c>
      <c r="D131" s="111">
        <v>85</v>
      </c>
      <c r="E131" s="40">
        <v>14000</v>
      </c>
      <c r="K131" s="108">
        <v>0</v>
      </c>
      <c r="L131" s="66">
        <f t="shared" si="4"/>
        <v>112000</v>
      </c>
      <c r="M131" s="153">
        <f>-PMT('Interface - Substantial impacts'!$I$42,'Interface - Substantial impacts'!$I$40,'DW Facility data'!L131)</f>
        <v>8722.4021051224536</v>
      </c>
      <c r="N131" s="169">
        <f t="shared" ref="N131:N194" si="5">L131*0.0704</f>
        <v>7884.8</v>
      </c>
      <c r="O131" s="85">
        <v>11886</v>
      </c>
      <c r="P131" s="81">
        <v>5502</v>
      </c>
      <c r="V131" s="103" t="s">
        <v>1723</v>
      </c>
      <c r="W131" s="68">
        <v>464</v>
      </c>
    </row>
    <row r="132" spans="1:23" x14ac:dyDescent="0.25">
      <c r="A132" s="40">
        <v>1180026</v>
      </c>
      <c r="B132" s="40" t="s">
        <v>1993</v>
      </c>
      <c r="C132" s="68">
        <v>99</v>
      </c>
      <c r="D132" s="111">
        <v>59</v>
      </c>
      <c r="E132" s="40">
        <v>17100</v>
      </c>
      <c r="K132" s="108">
        <v>0</v>
      </c>
      <c r="L132" s="66">
        <f t="shared" si="4"/>
        <v>136800</v>
      </c>
      <c r="M132" s="153">
        <f>-PMT('Interface - Substantial impacts'!$I$42,'Interface - Substantial impacts'!$I$40,'DW Facility data'!L132)</f>
        <v>10653.791142685282</v>
      </c>
      <c r="N132" s="169">
        <f t="shared" si="5"/>
        <v>9630.7200000000012</v>
      </c>
      <c r="O132" s="85">
        <v>19405</v>
      </c>
      <c r="P132" s="81">
        <v>0</v>
      </c>
      <c r="V132" s="103" t="s">
        <v>1609</v>
      </c>
      <c r="W132" s="68">
        <v>1922</v>
      </c>
    </row>
    <row r="133" spans="1:23" x14ac:dyDescent="0.25">
      <c r="A133" s="40">
        <v>1180027</v>
      </c>
      <c r="B133" s="40" t="s">
        <v>1873</v>
      </c>
      <c r="C133" s="68">
        <v>8612</v>
      </c>
      <c r="D133" s="112">
        <v>3650</v>
      </c>
      <c r="E133" s="40">
        <v>1803000</v>
      </c>
      <c r="K133" s="108">
        <v>0</v>
      </c>
      <c r="L133" s="66">
        <f t="shared" si="4"/>
        <v>14424000</v>
      </c>
      <c r="M133" s="153">
        <f>-PMT('Interface - Substantial impacts'!$I$42,'Interface - Substantial impacts'!$I$40,'DW Facility data'!L133)</f>
        <v>1123320.7853954132</v>
      </c>
      <c r="N133" s="169">
        <f t="shared" si="5"/>
        <v>1015449.6000000001</v>
      </c>
      <c r="O133" s="85">
        <v>1815708</v>
      </c>
      <c r="P133" s="81">
        <v>545569</v>
      </c>
      <c r="V133" s="103" t="s">
        <v>1638</v>
      </c>
      <c r="W133" s="68">
        <v>155</v>
      </c>
    </row>
    <row r="134" spans="1:23" x14ac:dyDescent="0.25">
      <c r="A134" s="40">
        <v>1190001</v>
      </c>
      <c r="B134" s="40" t="s">
        <v>1450</v>
      </c>
      <c r="C134" s="68">
        <v>56374</v>
      </c>
      <c r="D134" s="112">
        <v>21151</v>
      </c>
      <c r="E134" s="40">
        <v>11420000</v>
      </c>
      <c r="K134" s="108">
        <v>0</v>
      </c>
      <c r="L134" s="66">
        <f t="shared" si="4"/>
        <v>91360000</v>
      </c>
      <c r="M134" s="153">
        <f>-PMT('Interface - Substantial impacts'!$I$42,'Interface - Substantial impacts'!$I$40,'DW Facility data'!L134)</f>
        <v>7114988.0028927447</v>
      </c>
      <c r="N134" s="169">
        <f t="shared" si="5"/>
        <v>6431744</v>
      </c>
      <c r="O134" s="85">
        <v>9785313</v>
      </c>
      <c r="P134" s="81">
        <v>1104388</v>
      </c>
      <c r="V134" s="103" t="s">
        <v>1695</v>
      </c>
      <c r="W134" s="68">
        <v>747</v>
      </c>
    </row>
    <row r="135" spans="1:23" x14ac:dyDescent="0.25">
      <c r="A135" s="40">
        <v>1190002</v>
      </c>
      <c r="B135" s="40" t="s">
        <v>1451</v>
      </c>
      <c r="C135" s="68">
        <v>64317</v>
      </c>
      <c r="D135" s="112">
        <v>24841</v>
      </c>
      <c r="E135" s="40">
        <v>21000000</v>
      </c>
      <c r="K135" s="108">
        <v>0</v>
      </c>
      <c r="L135" s="66">
        <f t="shared" si="4"/>
        <v>168000000</v>
      </c>
      <c r="M135" s="153">
        <f>-PMT('Interface - Substantial impacts'!$I$42,'Interface - Substantial impacts'!$I$40,'DW Facility data'!L135)</f>
        <v>13083603.157683682</v>
      </c>
      <c r="N135" s="169">
        <f t="shared" si="5"/>
        <v>11827200</v>
      </c>
      <c r="O135" s="85">
        <v>10498987</v>
      </c>
      <c r="P135" s="81">
        <v>2536614</v>
      </c>
      <c r="V135" s="103" t="s">
        <v>1711</v>
      </c>
      <c r="W135" s="68">
        <v>243</v>
      </c>
    </row>
    <row r="136" spans="1:23" x14ac:dyDescent="0.25">
      <c r="A136" s="40">
        <v>1190007</v>
      </c>
      <c r="B136" s="40" t="s">
        <v>1452</v>
      </c>
      <c r="C136" s="68">
        <v>68855</v>
      </c>
      <c r="D136" s="112">
        <v>27481</v>
      </c>
      <c r="E136" s="40">
        <v>25310000</v>
      </c>
      <c r="K136" s="108">
        <v>0</v>
      </c>
      <c r="L136" s="66">
        <f t="shared" si="4"/>
        <v>202480000</v>
      </c>
      <c r="M136" s="153">
        <f>-PMT('Interface - Substantial impacts'!$I$42,'Interface - Substantial impacts'!$I$40,'DW Facility data'!L136)</f>
        <v>15768856.948617807</v>
      </c>
      <c r="N136" s="169">
        <f t="shared" si="5"/>
        <v>14254592</v>
      </c>
      <c r="O136" s="85">
        <v>7797026</v>
      </c>
      <c r="P136" s="81">
        <v>0</v>
      </c>
      <c r="V136" s="103" t="s">
        <v>1470</v>
      </c>
      <c r="W136" s="68">
        <v>386</v>
      </c>
    </row>
    <row r="137" spans="1:23" x14ac:dyDescent="0.25">
      <c r="A137" s="40">
        <v>1190008</v>
      </c>
      <c r="B137" s="40" t="s">
        <v>1649</v>
      </c>
      <c r="C137" s="68">
        <v>23632</v>
      </c>
      <c r="D137" s="112">
        <v>8068</v>
      </c>
      <c r="E137" s="40">
        <v>5000000</v>
      </c>
      <c r="K137" s="108">
        <v>0</v>
      </c>
      <c r="L137" s="66">
        <f t="shared" si="4"/>
        <v>40000000</v>
      </c>
      <c r="M137" s="153">
        <f>-PMT('Interface - Substantial impacts'!$I$42,'Interface - Substantial impacts'!$I$40,'DW Facility data'!L137)</f>
        <v>3115143.608972305</v>
      </c>
      <c r="N137" s="169">
        <f t="shared" si="5"/>
        <v>2816000</v>
      </c>
      <c r="O137" s="85">
        <v>1604792</v>
      </c>
      <c r="P137" s="81">
        <v>86487</v>
      </c>
      <c r="V137" s="103" t="s">
        <v>1732</v>
      </c>
      <c r="W137" s="68">
        <v>12568</v>
      </c>
    </row>
    <row r="138" spans="1:23" x14ac:dyDescent="0.25">
      <c r="A138" s="40">
        <v>1190009</v>
      </c>
      <c r="B138" s="109" t="s">
        <v>1667</v>
      </c>
      <c r="C138" s="69"/>
      <c r="D138" s="113"/>
      <c r="E138" s="40">
        <v>800000</v>
      </c>
      <c r="F138" s="43">
        <v>7500000</v>
      </c>
      <c r="K138" s="108">
        <v>7500000</v>
      </c>
      <c r="L138" s="66">
        <f t="shared" si="4"/>
        <v>6400000</v>
      </c>
      <c r="M138" s="153">
        <f>-PMT('Interface - Substantial impacts'!$I$42,'Interface - Substantial impacts'!$I$40,'DW Facility data'!L138)</f>
        <v>498422.97743556881</v>
      </c>
      <c r="N138" s="169">
        <f t="shared" si="5"/>
        <v>450560</v>
      </c>
      <c r="O138" s="105"/>
      <c r="P138" s="86"/>
      <c r="V138" s="103" t="s">
        <v>1832</v>
      </c>
      <c r="W138" s="68">
        <v>36</v>
      </c>
    </row>
    <row r="139" spans="1:23" x14ac:dyDescent="0.25">
      <c r="A139" s="40">
        <v>1190010</v>
      </c>
      <c r="B139" s="40" t="s">
        <v>1724</v>
      </c>
      <c r="C139" s="68">
        <v>744</v>
      </c>
      <c r="D139" s="111">
        <v>256</v>
      </c>
      <c r="E139" s="40">
        <v>160000</v>
      </c>
      <c r="K139" s="108">
        <v>0</v>
      </c>
      <c r="L139" s="66">
        <f t="shared" si="4"/>
        <v>1280000</v>
      </c>
      <c r="M139" s="153">
        <f>-PMT('Interface - Substantial impacts'!$I$42,'Interface - Substantial impacts'!$I$40,'DW Facility data'!L139)</f>
        <v>99684.595487113766</v>
      </c>
      <c r="N139" s="169">
        <f t="shared" si="5"/>
        <v>90112</v>
      </c>
      <c r="O139" s="85">
        <v>85232</v>
      </c>
      <c r="P139" s="81">
        <v>0</v>
      </c>
      <c r="V139" s="103" t="s">
        <v>2196</v>
      </c>
      <c r="W139" s="68">
        <v>2689</v>
      </c>
    </row>
    <row r="140" spans="1:23" x14ac:dyDescent="0.25">
      <c r="A140" s="40">
        <v>1190011</v>
      </c>
      <c r="B140" s="40" t="s">
        <v>1725</v>
      </c>
      <c r="C140" s="68">
        <v>86</v>
      </c>
      <c r="D140" s="111">
        <v>28</v>
      </c>
      <c r="E140" s="40">
        <v>30000</v>
      </c>
      <c r="K140" s="108">
        <v>0</v>
      </c>
      <c r="L140" s="66">
        <f t="shared" si="4"/>
        <v>240000</v>
      </c>
      <c r="M140" s="153">
        <f>-PMT('Interface - Substantial impacts'!$I$42,'Interface - Substantial impacts'!$I$40,'DW Facility data'!L140)</f>
        <v>18690.861653833828</v>
      </c>
      <c r="N140" s="169">
        <f t="shared" si="5"/>
        <v>16896</v>
      </c>
      <c r="O140" s="85">
        <v>11827</v>
      </c>
      <c r="P140" s="81">
        <v>0</v>
      </c>
      <c r="V140" s="103" t="s">
        <v>1836</v>
      </c>
      <c r="W140" s="68">
        <v>2799</v>
      </c>
    </row>
    <row r="141" spans="1:23" x14ac:dyDescent="0.25">
      <c r="A141" s="40">
        <v>1190012</v>
      </c>
      <c r="B141" s="40" t="s">
        <v>1680</v>
      </c>
      <c r="C141" s="68">
        <v>22154</v>
      </c>
      <c r="D141" s="112">
        <v>9241</v>
      </c>
      <c r="E141" s="40">
        <v>5700000</v>
      </c>
      <c r="K141" s="108">
        <v>0</v>
      </c>
      <c r="L141" s="66">
        <f t="shared" si="4"/>
        <v>45600000</v>
      </c>
      <c r="M141" s="153">
        <f>-PMT('Interface - Substantial impacts'!$I$42,'Interface - Substantial impacts'!$I$40,'DW Facility data'!L141)</f>
        <v>3551263.7142284275</v>
      </c>
      <c r="N141" s="169">
        <f t="shared" si="5"/>
        <v>3210240</v>
      </c>
      <c r="O141" s="85">
        <v>1881927</v>
      </c>
      <c r="P141" s="81">
        <v>401175</v>
      </c>
      <c r="V141" s="103" t="s">
        <v>1025</v>
      </c>
      <c r="W141" s="68">
        <v>4164</v>
      </c>
    </row>
    <row r="142" spans="1:23" x14ac:dyDescent="0.25">
      <c r="A142" s="40">
        <v>1190014</v>
      </c>
      <c r="B142" s="40" t="s">
        <v>1593</v>
      </c>
      <c r="C142" s="68">
        <v>35801</v>
      </c>
      <c r="D142" s="112">
        <v>15059</v>
      </c>
      <c r="E142" s="40">
        <v>7900000</v>
      </c>
      <c r="K142" s="108">
        <v>0</v>
      </c>
      <c r="L142" s="66">
        <f t="shared" si="4"/>
        <v>63200000</v>
      </c>
      <c r="M142" s="153">
        <f>-PMT('Interface - Substantial impacts'!$I$42,'Interface - Substantial impacts'!$I$40,'DW Facility data'!L142)</f>
        <v>4921926.9021762423</v>
      </c>
      <c r="N142" s="169">
        <f t="shared" si="5"/>
        <v>4449280</v>
      </c>
      <c r="O142" s="85">
        <v>2886575</v>
      </c>
      <c r="P142" s="81">
        <v>381306</v>
      </c>
      <c r="V142" s="103" t="s">
        <v>1786</v>
      </c>
      <c r="W142" s="68">
        <v>2006</v>
      </c>
    </row>
    <row r="143" spans="1:23" x14ac:dyDescent="0.25">
      <c r="A143" s="40">
        <v>1190015</v>
      </c>
      <c r="B143" s="40" t="s">
        <v>1542</v>
      </c>
      <c r="C143" s="68">
        <v>69490</v>
      </c>
      <c r="D143" s="112">
        <v>23168</v>
      </c>
      <c r="E143" s="40">
        <v>16460000</v>
      </c>
      <c r="K143" s="108">
        <v>0</v>
      </c>
      <c r="L143" s="66">
        <f t="shared" si="4"/>
        <v>131680000</v>
      </c>
      <c r="M143" s="153">
        <f>-PMT('Interface - Substantial impacts'!$I$42,'Interface - Substantial impacts'!$I$40,'DW Facility data'!L143)</f>
        <v>10255052.760736827</v>
      </c>
      <c r="N143" s="169">
        <f t="shared" si="5"/>
        <v>9270272</v>
      </c>
      <c r="O143" s="85">
        <v>6796589</v>
      </c>
      <c r="P143" s="81">
        <v>699413</v>
      </c>
      <c r="V143" s="103" t="s">
        <v>1776</v>
      </c>
      <c r="W143" s="68">
        <v>2047</v>
      </c>
    </row>
    <row r="144" spans="1:23" x14ac:dyDescent="0.25">
      <c r="A144" s="40">
        <v>1190019</v>
      </c>
      <c r="B144" s="40" t="s">
        <v>1585</v>
      </c>
      <c r="C144" s="68">
        <v>25650</v>
      </c>
      <c r="D144" s="112">
        <v>8920</v>
      </c>
      <c r="E144" s="40">
        <v>6020000</v>
      </c>
      <c r="F144" s="43">
        <v>20218000</v>
      </c>
      <c r="K144" s="108">
        <v>20218000</v>
      </c>
      <c r="L144" s="66">
        <f t="shared" si="4"/>
        <v>48160000</v>
      </c>
      <c r="M144" s="153">
        <f>-PMT('Interface - Substantial impacts'!$I$42,'Interface - Substantial impacts'!$I$40,'DW Facility data'!L144)</f>
        <v>3750632.9052026551</v>
      </c>
      <c r="N144" s="169">
        <f t="shared" si="5"/>
        <v>3390464</v>
      </c>
      <c r="O144" s="85">
        <v>2360266</v>
      </c>
      <c r="P144" s="81">
        <v>172913</v>
      </c>
      <c r="V144" s="103" t="s">
        <v>2027</v>
      </c>
      <c r="W144" s="68">
        <v>21973</v>
      </c>
    </row>
    <row r="145" spans="1:23" x14ac:dyDescent="0.25">
      <c r="A145" s="40">
        <v>1190020</v>
      </c>
      <c r="B145" s="40" t="s">
        <v>1689</v>
      </c>
      <c r="C145" s="68">
        <v>20759</v>
      </c>
      <c r="D145" s="112">
        <v>8408</v>
      </c>
      <c r="E145" s="40">
        <v>5000000</v>
      </c>
      <c r="K145" s="108">
        <v>0</v>
      </c>
      <c r="L145" s="66">
        <f t="shared" si="4"/>
        <v>40000000</v>
      </c>
      <c r="M145" s="153">
        <f>-PMT('Interface - Substantial impacts'!$I$42,'Interface - Substantial impacts'!$I$40,'DW Facility data'!L145)</f>
        <v>3115143.608972305</v>
      </c>
      <c r="N145" s="169">
        <f t="shared" si="5"/>
        <v>2816000</v>
      </c>
      <c r="O145" s="85">
        <v>5003590</v>
      </c>
      <c r="P145" s="81">
        <v>280355</v>
      </c>
      <c r="V145" s="103" t="s">
        <v>2197</v>
      </c>
      <c r="W145" s="68">
        <v>4159</v>
      </c>
    </row>
    <row r="146" spans="1:23" x14ac:dyDescent="0.25">
      <c r="A146" s="40">
        <v>1190025</v>
      </c>
      <c r="B146" s="40" t="s">
        <v>1690</v>
      </c>
      <c r="C146" s="68">
        <v>466</v>
      </c>
      <c r="D146" s="111">
        <v>202</v>
      </c>
      <c r="E146" s="40">
        <v>72000</v>
      </c>
      <c r="K146" s="108">
        <v>0</v>
      </c>
      <c r="L146" s="66">
        <f t="shared" si="4"/>
        <v>576000</v>
      </c>
      <c r="M146" s="153">
        <f>-PMT('Interface - Substantial impacts'!$I$42,'Interface - Substantial impacts'!$I$40,'DW Facility data'!L146)</f>
        <v>44858.067969201191</v>
      </c>
      <c r="N146" s="169">
        <f t="shared" si="5"/>
        <v>40550.400000000001</v>
      </c>
      <c r="O146" s="85">
        <v>921913</v>
      </c>
      <c r="P146" s="81">
        <v>0</v>
      </c>
      <c r="V146" s="103" t="s">
        <v>1483</v>
      </c>
      <c r="W146" s="68">
        <v>392</v>
      </c>
    </row>
    <row r="147" spans="1:23" x14ac:dyDescent="0.25">
      <c r="A147" s="40">
        <v>1190028</v>
      </c>
      <c r="B147" s="40" t="s">
        <v>1691</v>
      </c>
      <c r="C147" s="68">
        <v>441</v>
      </c>
      <c r="D147" s="111">
        <v>187</v>
      </c>
      <c r="E147" s="40">
        <v>120000</v>
      </c>
      <c r="K147" s="108">
        <v>0</v>
      </c>
      <c r="L147" s="66">
        <f t="shared" si="4"/>
        <v>960000</v>
      </c>
      <c r="M147" s="153">
        <f>-PMT('Interface - Substantial impacts'!$I$42,'Interface - Substantial impacts'!$I$40,'DW Facility data'!L147)</f>
        <v>74763.446615335313</v>
      </c>
      <c r="N147" s="169">
        <f t="shared" si="5"/>
        <v>67584</v>
      </c>
      <c r="O147" s="85">
        <v>69841</v>
      </c>
      <c r="P147" s="81">
        <v>0</v>
      </c>
      <c r="V147" s="103" t="s">
        <v>1684</v>
      </c>
      <c r="W147" s="68">
        <v>100</v>
      </c>
    </row>
    <row r="148" spans="1:23" x14ac:dyDescent="0.25">
      <c r="A148" s="40">
        <v>1200001</v>
      </c>
      <c r="B148" s="40" t="s">
        <v>1023</v>
      </c>
      <c r="C148" s="68">
        <v>513</v>
      </c>
      <c r="D148" s="111">
        <v>271</v>
      </c>
      <c r="E148" s="40">
        <v>80000</v>
      </c>
      <c r="K148" s="108">
        <v>0</v>
      </c>
      <c r="L148" s="66">
        <f t="shared" si="4"/>
        <v>640000</v>
      </c>
      <c r="M148" s="153">
        <f>-PMT('Interface - Substantial impacts'!$I$42,'Interface - Substantial impacts'!$I$40,'DW Facility data'!L148)</f>
        <v>49842.297743556883</v>
      </c>
      <c r="N148" s="169">
        <f t="shared" si="5"/>
        <v>45056</v>
      </c>
      <c r="O148" s="85">
        <v>138680</v>
      </c>
      <c r="P148" s="81">
        <v>1173124</v>
      </c>
      <c r="V148" s="103" t="s">
        <v>1548</v>
      </c>
      <c r="W148" s="68">
        <v>153</v>
      </c>
    </row>
    <row r="149" spans="1:23" x14ac:dyDescent="0.25">
      <c r="A149" s="40">
        <v>1200002</v>
      </c>
      <c r="B149" s="40" t="s">
        <v>1035</v>
      </c>
      <c r="C149" s="68">
        <v>2844</v>
      </c>
      <c r="D149" s="112">
        <v>1107</v>
      </c>
      <c r="E149" s="40">
        <v>210000</v>
      </c>
      <c r="K149" s="108">
        <v>0</v>
      </c>
      <c r="L149" s="66">
        <f t="shared" si="4"/>
        <v>1680000</v>
      </c>
      <c r="M149" s="153">
        <f>-PMT('Interface - Substantial impacts'!$I$42,'Interface - Substantial impacts'!$I$40,'DW Facility data'!L149)</f>
        <v>130836.03157683682</v>
      </c>
      <c r="N149" s="169">
        <f t="shared" si="5"/>
        <v>118272</v>
      </c>
      <c r="O149" s="85">
        <v>417297</v>
      </c>
      <c r="P149" s="81">
        <v>65711</v>
      </c>
      <c r="V149" s="103" t="s">
        <v>1801</v>
      </c>
      <c r="W149" s="68">
        <v>534</v>
      </c>
    </row>
    <row r="150" spans="1:23" x14ac:dyDescent="0.25">
      <c r="A150" s="40">
        <v>1200004</v>
      </c>
      <c r="B150" s="40" t="s">
        <v>1075</v>
      </c>
      <c r="C150" s="68">
        <v>1364</v>
      </c>
      <c r="D150" s="111">
        <v>601</v>
      </c>
      <c r="E150" s="40">
        <v>140000</v>
      </c>
      <c r="K150" s="108">
        <v>0</v>
      </c>
      <c r="L150" s="66">
        <f t="shared" si="4"/>
        <v>1120000</v>
      </c>
      <c r="M150" s="153">
        <f>-PMT('Interface - Substantial impacts'!$I$42,'Interface - Substantial impacts'!$I$40,'DW Facility data'!L150)</f>
        <v>87224.021051224539</v>
      </c>
      <c r="N150" s="169">
        <f t="shared" si="5"/>
        <v>78848</v>
      </c>
      <c r="O150" s="85">
        <v>666572</v>
      </c>
      <c r="P150" s="81">
        <v>1138751</v>
      </c>
      <c r="V150" s="103" t="s">
        <v>1447</v>
      </c>
      <c r="W150" s="68">
        <v>63599</v>
      </c>
    </row>
    <row r="151" spans="1:23" x14ac:dyDescent="0.25">
      <c r="A151" s="40">
        <v>1200005</v>
      </c>
      <c r="B151" s="40" t="s">
        <v>1091</v>
      </c>
      <c r="C151" s="68">
        <v>6851</v>
      </c>
      <c r="D151" s="112">
        <v>2506</v>
      </c>
      <c r="E151" s="40">
        <v>1000000</v>
      </c>
      <c r="K151" s="108">
        <v>0</v>
      </c>
      <c r="L151" s="66">
        <f t="shared" si="4"/>
        <v>8000000</v>
      </c>
      <c r="M151" s="153">
        <f>-PMT('Interface - Substantial impacts'!$I$42,'Interface - Substantial impacts'!$I$40,'DW Facility data'!L151)</f>
        <v>623028.72179446102</v>
      </c>
      <c r="N151" s="169">
        <f t="shared" si="5"/>
        <v>563200</v>
      </c>
      <c r="O151" s="85">
        <v>660493</v>
      </c>
      <c r="P151" s="81">
        <v>284151</v>
      </c>
      <c r="V151" s="103" t="s">
        <v>2023</v>
      </c>
      <c r="W151" s="68">
        <v>6185</v>
      </c>
    </row>
    <row r="152" spans="1:23" x14ac:dyDescent="0.25">
      <c r="A152" s="40">
        <v>1200006</v>
      </c>
      <c r="B152" s="40" t="s">
        <v>1744</v>
      </c>
      <c r="C152" s="68">
        <v>1111</v>
      </c>
      <c r="D152" s="111">
        <v>371</v>
      </c>
      <c r="E152" s="40">
        <v>100000</v>
      </c>
      <c r="K152" s="108">
        <v>0</v>
      </c>
      <c r="L152" s="66">
        <f t="shared" si="4"/>
        <v>800000</v>
      </c>
      <c r="M152" s="153">
        <f>-PMT('Interface - Substantial impacts'!$I$42,'Interface - Substantial impacts'!$I$40,'DW Facility data'!L152)</f>
        <v>62302.872179446102</v>
      </c>
      <c r="N152" s="169">
        <f t="shared" si="5"/>
        <v>56320</v>
      </c>
      <c r="O152" s="85">
        <v>208218</v>
      </c>
      <c r="P152" s="81">
        <v>42688</v>
      </c>
      <c r="V152" s="103" t="s">
        <v>1642</v>
      </c>
      <c r="W152" s="68">
        <v>26</v>
      </c>
    </row>
    <row r="153" spans="1:23" x14ac:dyDescent="0.25">
      <c r="A153" s="40">
        <v>1200007</v>
      </c>
      <c r="B153" s="40" t="s">
        <v>1252</v>
      </c>
      <c r="C153" s="68">
        <v>861</v>
      </c>
      <c r="D153" s="111">
        <v>319</v>
      </c>
      <c r="E153" s="40">
        <v>55000</v>
      </c>
      <c r="K153" s="108">
        <v>0</v>
      </c>
      <c r="L153" s="66">
        <f t="shared" si="4"/>
        <v>440000</v>
      </c>
      <c r="M153" s="153">
        <f>-PMT('Interface - Substantial impacts'!$I$42,'Interface - Substantial impacts'!$I$40,'DW Facility data'!L153)</f>
        <v>34266.579698695357</v>
      </c>
      <c r="N153" s="169">
        <f t="shared" si="5"/>
        <v>30976.000000000004</v>
      </c>
      <c r="O153" s="85">
        <v>112698</v>
      </c>
      <c r="P153" s="81">
        <v>104477</v>
      </c>
      <c r="V153" s="103" t="s">
        <v>1857</v>
      </c>
      <c r="W153" s="68">
        <v>507</v>
      </c>
    </row>
    <row r="154" spans="1:23" x14ac:dyDescent="0.25">
      <c r="A154" s="40">
        <v>1210001</v>
      </c>
      <c r="B154" s="40" t="s">
        <v>979</v>
      </c>
      <c r="C154" s="68">
        <v>14335</v>
      </c>
      <c r="D154" s="112">
        <v>7412</v>
      </c>
      <c r="E154" s="40">
        <v>2900000</v>
      </c>
      <c r="K154" s="108">
        <v>0</v>
      </c>
      <c r="L154" s="66">
        <f t="shared" si="4"/>
        <v>23200000</v>
      </c>
      <c r="M154" s="153">
        <f>-PMT('Interface - Substantial impacts'!$I$42,'Interface - Substantial impacts'!$I$40,'DW Facility data'!L154)</f>
        <v>1806783.2932039367</v>
      </c>
      <c r="N154" s="169">
        <f t="shared" si="5"/>
        <v>1633280</v>
      </c>
      <c r="O154" s="85">
        <v>2237961</v>
      </c>
      <c r="P154" s="81">
        <v>306719</v>
      </c>
      <c r="V154" s="103" t="s">
        <v>1603</v>
      </c>
      <c r="W154" s="68">
        <v>38839</v>
      </c>
    </row>
    <row r="155" spans="1:23" x14ac:dyDescent="0.25">
      <c r="A155" s="40">
        <v>1210009</v>
      </c>
      <c r="B155" s="40" t="s">
        <v>1487</v>
      </c>
      <c r="C155" s="68">
        <v>501</v>
      </c>
      <c r="D155" s="111">
        <v>278</v>
      </c>
      <c r="E155" s="40">
        <v>198000</v>
      </c>
      <c r="K155" s="108">
        <v>0</v>
      </c>
      <c r="L155" s="66">
        <f t="shared" si="4"/>
        <v>1584000</v>
      </c>
      <c r="M155" s="153">
        <f>-PMT('Interface - Substantial impacts'!$I$42,'Interface - Substantial impacts'!$I$40,'DW Facility data'!L155)</f>
        <v>123359.68691530326</v>
      </c>
      <c r="N155" s="169">
        <f t="shared" si="5"/>
        <v>111513.60000000001</v>
      </c>
      <c r="O155" s="85">
        <v>152480</v>
      </c>
      <c r="P155" s="81">
        <v>76570</v>
      </c>
      <c r="V155" s="103" t="s">
        <v>1616</v>
      </c>
      <c r="W155" s="68">
        <v>1149</v>
      </c>
    </row>
    <row r="156" spans="1:23" x14ac:dyDescent="0.25">
      <c r="A156" s="40">
        <v>1210010</v>
      </c>
      <c r="B156" s="40" t="s">
        <v>1919</v>
      </c>
      <c r="C156" s="68">
        <v>497</v>
      </c>
      <c r="D156" s="111">
        <v>207</v>
      </c>
      <c r="E156" s="40">
        <v>120000</v>
      </c>
      <c r="K156" s="108">
        <v>0</v>
      </c>
      <c r="L156" s="66">
        <f t="shared" si="4"/>
        <v>960000</v>
      </c>
      <c r="M156" s="153">
        <f>-PMT('Interface - Substantial impacts'!$I$42,'Interface - Substantial impacts'!$I$40,'DW Facility data'!L156)</f>
        <v>74763.446615335313</v>
      </c>
      <c r="N156" s="169">
        <f t="shared" si="5"/>
        <v>67584</v>
      </c>
      <c r="O156" s="85">
        <v>95213</v>
      </c>
      <c r="P156" s="81">
        <v>165605</v>
      </c>
      <c r="V156" s="103" t="s">
        <v>1506</v>
      </c>
      <c r="W156" s="68">
        <v>734</v>
      </c>
    </row>
    <row r="157" spans="1:23" x14ac:dyDescent="0.25">
      <c r="A157" s="40">
        <v>1210013</v>
      </c>
      <c r="B157" s="40" t="s">
        <v>1488</v>
      </c>
      <c r="C157" s="68">
        <v>603</v>
      </c>
      <c r="D157" s="111">
        <v>339</v>
      </c>
      <c r="E157" s="40">
        <v>106000</v>
      </c>
      <c r="K157" s="108">
        <v>0</v>
      </c>
      <c r="L157" s="66">
        <f t="shared" si="4"/>
        <v>848000</v>
      </c>
      <c r="M157" s="153">
        <f>-PMT('Interface - Substantial impacts'!$I$42,'Interface - Substantial impacts'!$I$40,'DW Facility data'!L157)</f>
        <v>66041.044510212858</v>
      </c>
      <c r="N157" s="169">
        <f t="shared" si="5"/>
        <v>59699.200000000004</v>
      </c>
      <c r="O157" s="85">
        <v>132307</v>
      </c>
      <c r="P157" s="81">
        <v>45355</v>
      </c>
      <c r="V157" s="103" t="s">
        <v>1674</v>
      </c>
      <c r="W157" s="68">
        <v>240</v>
      </c>
    </row>
    <row r="158" spans="1:23" x14ac:dyDescent="0.25">
      <c r="A158" s="40">
        <v>1210017</v>
      </c>
      <c r="B158" s="109" t="s">
        <v>1914</v>
      </c>
      <c r="C158" s="69"/>
      <c r="D158" s="111">
        <v>128</v>
      </c>
      <c r="E158" s="40">
        <v>80000</v>
      </c>
      <c r="K158" s="108">
        <v>0</v>
      </c>
      <c r="L158" s="66">
        <f t="shared" si="4"/>
        <v>640000</v>
      </c>
      <c r="M158" s="153">
        <f>-PMT('Interface - Substantial impacts'!$I$42,'Interface - Substantial impacts'!$I$40,'DW Facility data'!L158)</f>
        <v>49842.297743556883</v>
      </c>
      <c r="N158" s="169">
        <f t="shared" si="5"/>
        <v>45056</v>
      </c>
      <c r="O158" s="105"/>
      <c r="P158" s="86"/>
      <c r="V158" s="103" t="s">
        <v>1712</v>
      </c>
      <c r="W158" s="68">
        <v>7482</v>
      </c>
    </row>
    <row r="159" spans="1:23" x14ac:dyDescent="0.25">
      <c r="A159" s="40">
        <v>1210020</v>
      </c>
      <c r="B159" s="40" t="s">
        <v>1865</v>
      </c>
      <c r="C159" s="68">
        <v>1771</v>
      </c>
      <c r="D159" s="112">
        <v>1075</v>
      </c>
      <c r="E159" s="40">
        <v>233000</v>
      </c>
      <c r="K159" s="108">
        <v>0</v>
      </c>
      <c r="L159" s="66">
        <f t="shared" si="4"/>
        <v>1864000</v>
      </c>
      <c r="M159" s="153">
        <f>-PMT('Interface - Substantial impacts'!$I$42,'Interface - Substantial impacts'!$I$40,'DW Facility data'!L159)</f>
        <v>145165.6921781094</v>
      </c>
      <c r="N159" s="169">
        <f t="shared" si="5"/>
        <v>131225.60000000001</v>
      </c>
      <c r="O159" s="85">
        <v>280591</v>
      </c>
      <c r="P159" s="81">
        <v>186378</v>
      </c>
      <c r="V159" s="103" t="s">
        <v>1882</v>
      </c>
      <c r="W159" s="68">
        <v>2360</v>
      </c>
    </row>
    <row r="160" spans="1:23" x14ac:dyDescent="0.25">
      <c r="A160" s="40">
        <v>1210021</v>
      </c>
      <c r="B160" s="40" t="s">
        <v>1916</v>
      </c>
      <c r="C160" s="68">
        <v>349</v>
      </c>
      <c r="D160" s="111">
        <v>164</v>
      </c>
      <c r="E160" s="40">
        <v>40000</v>
      </c>
      <c r="F160" s="43">
        <v>987527</v>
      </c>
      <c r="K160" s="108">
        <v>987527</v>
      </c>
      <c r="L160" s="66">
        <f t="shared" si="4"/>
        <v>320000</v>
      </c>
      <c r="M160" s="153">
        <f>-PMT('Interface - Substantial impacts'!$I$42,'Interface - Substantial impacts'!$I$40,'DW Facility data'!L160)</f>
        <v>24921.148871778441</v>
      </c>
      <c r="N160" s="169">
        <f t="shared" si="5"/>
        <v>22528</v>
      </c>
      <c r="O160" s="85">
        <v>57627</v>
      </c>
      <c r="P160" s="81">
        <v>17672</v>
      </c>
      <c r="V160" s="103" t="s">
        <v>1910</v>
      </c>
      <c r="W160" s="68">
        <v>23330</v>
      </c>
    </row>
    <row r="161" spans="1:23" x14ac:dyDescent="0.25">
      <c r="A161" s="40">
        <v>1220001</v>
      </c>
      <c r="B161" s="40" t="s">
        <v>1698</v>
      </c>
      <c r="C161" s="68">
        <v>3174</v>
      </c>
      <c r="D161" s="112">
        <v>1617</v>
      </c>
      <c r="E161" s="40">
        <v>687000</v>
      </c>
      <c r="K161" s="108">
        <v>0</v>
      </c>
      <c r="L161" s="66">
        <f t="shared" si="4"/>
        <v>5496000</v>
      </c>
      <c r="M161" s="153">
        <f>-PMT('Interface - Substantial impacts'!$I$42,'Interface - Substantial impacts'!$I$40,'DW Facility data'!L161)</f>
        <v>428020.73187279474</v>
      </c>
      <c r="N161" s="169">
        <f t="shared" si="5"/>
        <v>386918.40000000002</v>
      </c>
      <c r="O161" s="85">
        <v>752789</v>
      </c>
      <c r="P161" s="81">
        <v>542677</v>
      </c>
      <c r="V161" s="103" t="s">
        <v>1530</v>
      </c>
      <c r="W161" s="68">
        <v>224</v>
      </c>
    </row>
    <row r="162" spans="1:23" x14ac:dyDescent="0.25">
      <c r="A162" s="40">
        <v>1220002</v>
      </c>
      <c r="B162" s="40" t="s">
        <v>1589</v>
      </c>
      <c r="C162" s="68">
        <v>348</v>
      </c>
      <c r="D162" s="111">
        <v>180</v>
      </c>
      <c r="E162" s="40">
        <v>203000</v>
      </c>
      <c r="K162" s="108">
        <v>0</v>
      </c>
      <c r="L162" s="66">
        <f t="shared" si="4"/>
        <v>1624000</v>
      </c>
      <c r="M162" s="153">
        <f>-PMT('Interface - Substantial impacts'!$I$42,'Interface - Substantial impacts'!$I$40,'DW Facility data'!L162)</f>
        <v>126474.83052427557</v>
      </c>
      <c r="N162" s="169">
        <f t="shared" si="5"/>
        <v>114329.60000000001</v>
      </c>
      <c r="O162" s="85">
        <v>41272</v>
      </c>
      <c r="P162" s="81">
        <v>0</v>
      </c>
      <c r="V162" s="103" t="s">
        <v>1742</v>
      </c>
      <c r="W162" s="68">
        <v>296</v>
      </c>
    </row>
    <row r="163" spans="1:23" x14ac:dyDescent="0.25">
      <c r="A163" s="40">
        <v>1220003</v>
      </c>
      <c r="B163" s="40" t="s">
        <v>1699</v>
      </c>
      <c r="C163" s="68">
        <v>172</v>
      </c>
      <c r="D163" s="111">
        <v>120</v>
      </c>
      <c r="E163" s="40">
        <v>60000</v>
      </c>
      <c r="K163" s="108">
        <v>0</v>
      </c>
      <c r="L163" s="66">
        <f t="shared" si="4"/>
        <v>480000</v>
      </c>
      <c r="M163" s="153">
        <f>-PMT('Interface - Substantial impacts'!$I$42,'Interface - Substantial impacts'!$I$40,'DW Facility data'!L163)</f>
        <v>37381.723307667657</v>
      </c>
      <c r="N163" s="169">
        <f t="shared" si="5"/>
        <v>33792</v>
      </c>
      <c r="O163" s="85">
        <v>37756</v>
      </c>
      <c r="P163" s="81">
        <v>0</v>
      </c>
      <c r="V163" s="103" t="s">
        <v>1903</v>
      </c>
      <c r="W163" s="68">
        <v>305</v>
      </c>
    </row>
    <row r="164" spans="1:23" x14ac:dyDescent="0.25">
      <c r="A164" s="40">
        <v>1220004</v>
      </c>
      <c r="B164" s="40" t="s">
        <v>1700</v>
      </c>
      <c r="C164" s="68">
        <v>549</v>
      </c>
      <c r="D164" s="111">
        <v>266</v>
      </c>
      <c r="E164" s="40">
        <v>129000</v>
      </c>
      <c r="K164" s="108">
        <v>0</v>
      </c>
      <c r="L164" s="66">
        <f t="shared" si="4"/>
        <v>1032000</v>
      </c>
      <c r="M164" s="153">
        <f>-PMT('Interface - Substantial impacts'!$I$42,'Interface - Substantial impacts'!$I$40,'DW Facility data'!L164)</f>
        <v>80370.705111485469</v>
      </c>
      <c r="N164" s="169">
        <f t="shared" si="5"/>
        <v>72652.800000000003</v>
      </c>
      <c r="O164" s="85">
        <v>190477</v>
      </c>
      <c r="P164" s="81">
        <v>83470</v>
      </c>
      <c r="V164" s="103" t="s">
        <v>1027</v>
      </c>
      <c r="W164" s="68">
        <v>215</v>
      </c>
    </row>
    <row r="165" spans="1:23" x14ac:dyDescent="0.25">
      <c r="A165" s="40">
        <v>1220005</v>
      </c>
      <c r="B165" s="40" t="s">
        <v>1249</v>
      </c>
      <c r="C165" s="68">
        <v>177</v>
      </c>
      <c r="D165" s="111">
        <v>94</v>
      </c>
      <c r="E165" s="40">
        <v>60000</v>
      </c>
      <c r="K165" s="108">
        <v>0</v>
      </c>
      <c r="L165" s="66">
        <f t="shared" si="4"/>
        <v>480000</v>
      </c>
      <c r="M165" s="153">
        <f>-PMT('Interface - Substantial impacts'!$I$42,'Interface - Substantial impacts'!$I$40,'DW Facility data'!L165)</f>
        <v>37381.723307667657</v>
      </c>
      <c r="N165" s="169">
        <f t="shared" si="5"/>
        <v>33792</v>
      </c>
      <c r="O165" s="85">
        <v>39645</v>
      </c>
      <c r="P165" s="81">
        <v>0</v>
      </c>
      <c r="V165" s="103" t="s">
        <v>1621</v>
      </c>
      <c r="W165" s="68">
        <v>458</v>
      </c>
    </row>
    <row r="166" spans="1:23" x14ac:dyDescent="0.25">
      <c r="A166" s="40">
        <v>1220007</v>
      </c>
      <c r="B166" s="40" t="s">
        <v>1838</v>
      </c>
      <c r="C166" s="68">
        <v>216</v>
      </c>
      <c r="D166" s="111">
        <v>118</v>
      </c>
      <c r="E166" s="40">
        <v>42000</v>
      </c>
      <c r="K166" s="108">
        <v>0</v>
      </c>
      <c r="L166" s="66">
        <f t="shared" si="4"/>
        <v>336000</v>
      </c>
      <c r="M166" s="153">
        <f>-PMT('Interface - Substantial impacts'!$I$42,'Interface - Substantial impacts'!$I$40,'DW Facility data'!L166)</f>
        <v>26167.206315367359</v>
      </c>
      <c r="N166" s="169">
        <f t="shared" si="5"/>
        <v>23654.400000000001</v>
      </c>
      <c r="O166" s="85">
        <v>65897</v>
      </c>
      <c r="P166" s="81">
        <v>21576</v>
      </c>
      <c r="V166" s="103" t="s">
        <v>2011</v>
      </c>
      <c r="W166" s="68">
        <v>84</v>
      </c>
    </row>
    <row r="167" spans="1:23" x14ac:dyDescent="0.25">
      <c r="A167" s="40">
        <v>1220008</v>
      </c>
      <c r="B167" s="40" t="s">
        <v>1701</v>
      </c>
      <c r="C167" s="68">
        <v>488</v>
      </c>
      <c r="D167" s="111">
        <v>308</v>
      </c>
      <c r="E167" s="40">
        <v>124000</v>
      </c>
      <c r="K167" s="108">
        <v>0</v>
      </c>
      <c r="L167" s="66">
        <f t="shared" si="4"/>
        <v>992000</v>
      </c>
      <c r="M167" s="153">
        <f>-PMT('Interface - Substantial impacts'!$I$42,'Interface - Substantial impacts'!$I$40,'DW Facility data'!L167)</f>
        <v>77255.56150251317</v>
      </c>
      <c r="N167" s="169">
        <f t="shared" si="5"/>
        <v>69836.800000000003</v>
      </c>
      <c r="O167" s="85">
        <v>50266</v>
      </c>
      <c r="P167" s="81">
        <v>14890</v>
      </c>
      <c r="V167" s="103" t="s">
        <v>1896</v>
      </c>
      <c r="W167" s="68">
        <v>348</v>
      </c>
    </row>
    <row r="168" spans="1:23" x14ac:dyDescent="0.25">
      <c r="A168" s="40">
        <v>1220009</v>
      </c>
      <c r="B168" s="40" t="s">
        <v>2012</v>
      </c>
      <c r="C168" s="68">
        <v>69</v>
      </c>
      <c r="D168" s="111">
        <v>30</v>
      </c>
      <c r="E168" s="40">
        <v>7500</v>
      </c>
      <c r="K168" s="108">
        <v>0</v>
      </c>
      <c r="L168" s="66">
        <f t="shared" si="4"/>
        <v>60000</v>
      </c>
      <c r="M168" s="153">
        <f>-PMT('Interface - Substantial impacts'!$I$42,'Interface - Substantial impacts'!$I$40,'DW Facility data'!L168)</f>
        <v>4672.7154134584571</v>
      </c>
      <c r="N168" s="169">
        <f t="shared" si="5"/>
        <v>4224</v>
      </c>
      <c r="O168" s="85">
        <v>9271</v>
      </c>
      <c r="P168" s="81">
        <v>0</v>
      </c>
      <c r="V168" s="103" t="s">
        <v>1817</v>
      </c>
      <c r="W168" s="68">
        <v>1472</v>
      </c>
    </row>
    <row r="169" spans="1:23" x14ac:dyDescent="0.25">
      <c r="A169" s="40">
        <v>1220010</v>
      </c>
      <c r="B169" s="40" t="s">
        <v>1247</v>
      </c>
      <c r="C169" s="68">
        <v>2410</v>
      </c>
      <c r="D169" s="112">
        <v>1163</v>
      </c>
      <c r="E169" s="40">
        <v>600000</v>
      </c>
      <c r="F169" s="43">
        <v>6405000</v>
      </c>
      <c r="K169" s="108">
        <v>6405000</v>
      </c>
      <c r="L169" s="66">
        <f t="shared" si="4"/>
        <v>4800000</v>
      </c>
      <c r="M169" s="153">
        <f>-PMT('Interface - Substantial impacts'!$I$42,'Interface - Substantial impacts'!$I$40,'DW Facility data'!L169)</f>
        <v>373817.23307667655</v>
      </c>
      <c r="N169" s="169">
        <f t="shared" si="5"/>
        <v>337920</v>
      </c>
      <c r="O169" s="85">
        <v>343947</v>
      </c>
      <c r="P169" s="81">
        <v>89858</v>
      </c>
      <c r="V169" s="103" t="s">
        <v>1029</v>
      </c>
      <c r="W169" s="68">
        <v>1466</v>
      </c>
    </row>
    <row r="170" spans="1:23" x14ac:dyDescent="0.25">
      <c r="A170" s="40">
        <v>1220011</v>
      </c>
      <c r="B170" s="40" t="s">
        <v>1258</v>
      </c>
      <c r="C170" s="68">
        <v>1391</v>
      </c>
      <c r="D170" s="111">
        <v>633</v>
      </c>
      <c r="E170" s="40">
        <v>309000</v>
      </c>
      <c r="K170" s="108">
        <v>0</v>
      </c>
      <c r="L170" s="66">
        <f t="shared" si="4"/>
        <v>2472000</v>
      </c>
      <c r="M170" s="153">
        <f>-PMT('Interface - Substantial impacts'!$I$42,'Interface - Substantial impacts'!$I$40,'DW Facility data'!L170)</f>
        <v>192515.87503448845</v>
      </c>
      <c r="N170" s="169">
        <f t="shared" si="5"/>
        <v>174028.80000000002</v>
      </c>
      <c r="O170" s="85">
        <v>263341</v>
      </c>
      <c r="P170" s="81">
        <v>274729</v>
      </c>
      <c r="V170" s="103" t="s">
        <v>1706</v>
      </c>
      <c r="W170" s="68">
        <v>7262</v>
      </c>
    </row>
    <row r="171" spans="1:23" x14ac:dyDescent="0.25">
      <c r="A171" s="40">
        <v>1220013</v>
      </c>
      <c r="B171" s="40" t="s">
        <v>71</v>
      </c>
      <c r="C171" s="68">
        <v>661</v>
      </c>
      <c r="D171" s="111">
        <v>300</v>
      </c>
      <c r="E171" s="40">
        <v>100000</v>
      </c>
      <c r="K171" s="108">
        <v>0</v>
      </c>
      <c r="L171" s="66">
        <f t="shared" si="4"/>
        <v>800000</v>
      </c>
      <c r="M171" s="153">
        <f>-PMT('Interface - Substantial impacts'!$I$42,'Interface - Substantial impacts'!$I$40,'DW Facility data'!L171)</f>
        <v>62302.872179446102</v>
      </c>
      <c r="N171" s="169">
        <f t="shared" si="5"/>
        <v>56320</v>
      </c>
      <c r="O171" s="85">
        <v>99592</v>
      </c>
      <c r="P171" s="81">
        <v>0</v>
      </c>
      <c r="V171" s="103" t="s">
        <v>1615</v>
      </c>
      <c r="W171" s="68">
        <v>330</v>
      </c>
    </row>
    <row r="172" spans="1:23" x14ac:dyDescent="0.25">
      <c r="A172" s="40">
        <v>1230001</v>
      </c>
      <c r="B172" s="40" t="s">
        <v>1017</v>
      </c>
      <c r="C172" s="68">
        <v>310</v>
      </c>
      <c r="D172" s="111">
        <v>181</v>
      </c>
      <c r="E172" s="40">
        <v>45000</v>
      </c>
      <c r="K172" s="108">
        <v>0</v>
      </c>
      <c r="L172" s="66">
        <f t="shared" si="4"/>
        <v>360000</v>
      </c>
      <c r="M172" s="153">
        <f>-PMT('Interface - Substantial impacts'!$I$42,'Interface - Substantial impacts'!$I$40,'DW Facility data'!L172)</f>
        <v>28036.292480750744</v>
      </c>
      <c r="N172" s="169">
        <f t="shared" si="5"/>
        <v>25344</v>
      </c>
      <c r="O172" s="85">
        <v>63072</v>
      </c>
      <c r="P172" s="81">
        <v>2054</v>
      </c>
      <c r="V172" s="103" t="s">
        <v>1545</v>
      </c>
      <c r="W172" s="68">
        <v>909</v>
      </c>
    </row>
    <row r="173" spans="1:23" x14ac:dyDescent="0.25">
      <c r="A173" s="40">
        <v>1230002</v>
      </c>
      <c r="B173" s="40" t="s">
        <v>1574</v>
      </c>
      <c r="C173" s="68">
        <v>2997</v>
      </c>
      <c r="D173" s="112">
        <v>1173</v>
      </c>
      <c r="E173" s="40">
        <v>443000</v>
      </c>
      <c r="K173" s="108">
        <v>0</v>
      </c>
      <c r="L173" s="66">
        <f t="shared" si="4"/>
        <v>3544000</v>
      </c>
      <c r="M173" s="153">
        <f>-PMT('Interface - Substantial impacts'!$I$42,'Interface - Substantial impacts'!$I$40,'DW Facility data'!L173)</f>
        <v>276001.7237549462</v>
      </c>
      <c r="N173" s="169">
        <f t="shared" si="5"/>
        <v>249497.60000000001</v>
      </c>
      <c r="O173" s="85">
        <v>313211</v>
      </c>
      <c r="P173" s="81">
        <v>39425</v>
      </c>
      <c r="V173" s="103" t="s">
        <v>1933</v>
      </c>
      <c r="W173" s="68">
        <v>526</v>
      </c>
    </row>
    <row r="174" spans="1:23" x14ac:dyDescent="0.25">
      <c r="A174" s="40">
        <v>1230003</v>
      </c>
      <c r="B174" s="40" t="s">
        <v>1575</v>
      </c>
      <c r="C174" s="68">
        <v>409</v>
      </c>
      <c r="D174" s="111">
        <v>213</v>
      </c>
      <c r="E174" s="40">
        <v>60000</v>
      </c>
      <c r="K174" s="108">
        <v>0</v>
      </c>
      <c r="L174" s="66">
        <f t="shared" si="4"/>
        <v>480000</v>
      </c>
      <c r="M174" s="153">
        <f>-PMT('Interface - Substantial impacts'!$I$42,'Interface - Substantial impacts'!$I$40,'DW Facility data'!L174)</f>
        <v>37381.723307667657</v>
      </c>
      <c r="N174" s="169">
        <f t="shared" si="5"/>
        <v>33792</v>
      </c>
      <c r="O174" s="85">
        <v>75425</v>
      </c>
      <c r="P174" s="81">
        <v>0</v>
      </c>
      <c r="V174" s="103" t="s">
        <v>2198</v>
      </c>
      <c r="W174" s="68">
        <v>110</v>
      </c>
    </row>
    <row r="175" spans="1:23" x14ac:dyDescent="0.25">
      <c r="A175" s="40">
        <v>1230005</v>
      </c>
      <c r="B175" s="40" t="s">
        <v>1071</v>
      </c>
      <c r="C175" s="68">
        <v>1043</v>
      </c>
      <c r="D175" s="111">
        <v>594</v>
      </c>
      <c r="E175" s="40">
        <v>170000</v>
      </c>
      <c r="K175" s="108">
        <v>0</v>
      </c>
      <c r="L175" s="66">
        <f t="shared" si="4"/>
        <v>1360000</v>
      </c>
      <c r="M175" s="153">
        <f>-PMT('Interface - Substantial impacts'!$I$42,'Interface - Substantial impacts'!$I$40,'DW Facility data'!L175)</f>
        <v>105914.88270505838</v>
      </c>
      <c r="N175" s="169">
        <f t="shared" si="5"/>
        <v>95744</v>
      </c>
      <c r="O175" s="85">
        <v>217974</v>
      </c>
      <c r="P175" s="81">
        <v>60478</v>
      </c>
      <c r="V175" s="103" t="s">
        <v>2199</v>
      </c>
      <c r="W175" s="68">
        <v>6484</v>
      </c>
    </row>
    <row r="176" spans="1:23" x14ac:dyDescent="0.25">
      <c r="A176" s="40">
        <v>1230006</v>
      </c>
      <c r="B176" s="109" t="s">
        <v>1906</v>
      </c>
      <c r="C176" s="69"/>
      <c r="D176" s="111">
        <v>458</v>
      </c>
      <c r="E176" s="40">
        <v>180000</v>
      </c>
      <c r="K176" s="108">
        <v>0</v>
      </c>
      <c r="L176" s="66">
        <f t="shared" si="4"/>
        <v>1440000</v>
      </c>
      <c r="M176" s="153">
        <f>-PMT('Interface - Substantial impacts'!$I$42,'Interface - Substantial impacts'!$I$40,'DW Facility data'!L176)</f>
        <v>112145.16992300298</v>
      </c>
      <c r="N176" s="169">
        <f t="shared" si="5"/>
        <v>101376</v>
      </c>
      <c r="O176" s="105"/>
      <c r="P176" s="86"/>
      <c r="V176" s="103" t="s">
        <v>1699</v>
      </c>
      <c r="W176" s="68">
        <v>172</v>
      </c>
    </row>
    <row r="177" spans="1:23" x14ac:dyDescent="0.25">
      <c r="A177" s="40">
        <v>1230007</v>
      </c>
      <c r="B177" s="108" t="s">
        <v>1117</v>
      </c>
      <c r="C177" s="68">
        <v>716</v>
      </c>
      <c r="D177" s="111">
        <v>395</v>
      </c>
      <c r="E177" s="108">
        <v>125000</v>
      </c>
      <c r="F177" s="108"/>
      <c r="G177" s="108"/>
      <c r="H177" s="108"/>
      <c r="I177" s="108"/>
      <c r="J177" s="108"/>
      <c r="K177" s="108">
        <v>0</v>
      </c>
      <c r="L177" s="66">
        <f t="shared" si="4"/>
        <v>1000000</v>
      </c>
      <c r="M177" s="153">
        <f>-PMT('Interface - Substantial impacts'!$I$42,'Interface - Substantial impacts'!$I$40,'DW Facility data'!L177)</f>
        <v>77878.590224307627</v>
      </c>
      <c r="N177" s="169">
        <f t="shared" si="5"/>
        <v>70400</v>
      </c>
      <c r="O177" s="104">
        <v>106924</v>
      </c>
      <c r="P177" s="81">
        <v>56961</v>
      </c>
      <c r="V177" s="109"/>
      <c r="W177" s="69"/>
    </row>
    <row r="178" spans="1:23" x14ac:dyDescent="0.25">
      <c r="A178" s="40">
        <v>1230008</v>
      </c>
      <c r="B178" s="40" t="s">
        <v>1733</v>
      </c>
      <c r="C178" s="68">
        <v>231</v>
      </c>
      <c r="D178" s="111">
        <v>113</v>
      </c>
      <c r="E178" s="40">
        <v>100000</v>
      </c>
      <c r="K178" s="108">
        <v>0</v>
      </c>
      <c r="L178" s="66">
        <f t="shared" si="4"/>
        <v>800000</v>
      </c>
      <c r="M178" s="153">
        <f>-PMT('Interface - Substantial impacts'!$I$42,'Interface - Substantial impacts'!$I$40,'DW Facility data'!L178)</f>
        <v>62302.872179446102</v>
      </c>
      <c r="N178" s="169">
        <f t="shared" si="5"/>
        <v>56320</v>
      </c>
      <c r="O178" s="85">
        <v>22310</v>
      </c>
      <c r="P178" s="81">
        <v>3758</v>
      </c>
      <c r="V178" s="103" t="s">
        <v>1694</v>
      </c>
      <c r="W178" s="68">
        <v>223</v>
      </c>
    </row>
    <row r="179" spans="1:23" x14ac:dyDescent="0.25">
      <c r="A179" s="40">
        <v>1230009</v>
      </c>
      <c r="B179" s="40" t="s">
        <v>1576</v>
      </c>
      <c r="C179" s="68">
        <v>234</v>
      </c>
      <c r="D179" s="111">
        <v>137</v>
      </c>
      <c r="E179" s="40">
        <v>50000</v>
      </c>
      <c r="K179" s="108">
        <v>0</v>
      </c>
      <c r="L179" s="66">
        <f t="shared" si="4"/>
        <v>400000</v>
      </c>
      <c r="M179" s="153">
        <f>-PMT('Interface - Substantial impacts'!$I$42,'Interface - Substantial impacts'!$I$40,'DW Facility data'!L179)</f>
        <v>31151.436089723051</v>
      </c>
      <c r="N179" s="169">
        <f t="shared" si="5"/>
        <v>28160</v>
      </c>
      <c r="O179" s="85">
        <v>21038</v>
      </c>
      <c r="P179" s="81">
        <v>0</v>
      </c>
      <c r="V179" s="103" t="s">
        <v>1033</v>
      </c>
      <c r="W179" s="68">
        <v>9869</v>
      </c>
    </row>
    <row r="180" spans="1:23" x14ac:dyDescent="0.25">
      <c r="A180" s="40">
        <v>1230010</v>
      </c>
      <c r="B180" s="40" t="s">
        <v>1182</v>
      </c>
      <c r="C180" s="68">
        <v>1322</v>
      </c>
      <c r="D180" s="111">
        <v>717</v>
      </c>
      <c r="E180" s="40">
        <v>700000</v>
      </c>
      <c r="K180" s="108">
        <v>0</v>
      </c>
      <c r="L180" s="66">
        <f t="shared" si="4"/>
        <v>5600000</v>
      </c>
      <c r="M180" s="153">
        <f>-PMT('Interface - Substantial impacts'!$I$42,'Interface - Substantial impacts'!$I$40,'DW Facility data'!L180)</f>
        <v>436120.10525612271</v>
      </c>
      <c r="N180" s="169">
        <f t="shared" si="5"/>
        <v>394240</v>
      </c>
      <c r="O180" s="85">
        <v>334294</v>
      </c>
      <c r="P180" s="81">
        <v>66933</v>
      </c>
      <c r="V180" s="103" t="s">
        <v>1551</v>
      </c>
      <c r="W180" s="68">
        <v>324</v>
      </c>
    </row>
    <row r="181" spans="1:23" x14ac:dyDescent="0.25">
      <c r="A181" s="40">
        <v>1230011</v>
      </c>
      <c r="B181" s="40" t="s">
        <v>1198</v>
      </c>
      <c r="C181" s="68">
        <v>1860</v>
      </c>
      <c r="D181" s="111">
        <v>804</v>
      </c>
      <c r="E181" s="40">
        <v>232000</v>
      </c>
      <c r="K181" s="108">
        <v>0</v>
      </c>
      <c r="L181" s="66">
        <f t="shared" si="4"/>
        <v>1856000</v>
      </c>
      <c r="M181" s="153">
        <f>-PMT('Interface - Substantial impacts'!$I$42,'Interface - Substantial impacts'!$I$40,'DW Facility data'!L181)</f>
        <v>144542.66345631494</v>
      </c>
      <c r="N181" s="169">
        <f t="shared" si="5"/>
        <v>130662.40000000001</v>
      </c>
      <c r="O181" s="85">
        <v>425284</v>
      </c>
      <c r="P181" s="81">
        <v>174111</v>
      </c>
      <c r="V181" s="103" t="s">
        <v>2034</v>
      </c>
      <c r="W181" s="68">
        <v>4612</v>
      </c>
    </row>
    <row r="182" spans="1:23" x14ac:dyDescent="0.25">
      <c r="A182" s="40">
        <v>1230012</v>
      </c>
      <c r="B182" s="40" t="s">
        <v>1214</v>
      </c>
      <c r="C182" s="68">
        <v>2447</v>
      </c>
      <c r="D182" s="112">
        <v>1140</v>
      </c>
      <c r="E182" s="40">
        <v>600000</v>
      </c>
      <c r="K182" s="108">
        <v>0</v>
      </c>
      <c r="L182" s="66">
        <f t="shared" si="4"/>
        <v>4800000</v>
      </c>
      <c r="M182" s="153">
        <f>-PMT('Interface - Substantial impacts'!$I$42,'Interface - Substantial impacts'!$I$40,'DW Facility data'!L182)</f>
        <v>373817.23307667655</v>
      </c>
      <c r="N182" s="169">
        <f t="shared" si="5"/>
        <v>337920</v>
      </c>
      <c r="O182" s="85">
        <v>504728</v>
      </c>
      <c r="P182" s="81">
        <v>90577</v>
      </c>
      <c r="V182" s="103" t="s">
        <v>1035</v>
      </c>
      <c r="W182" s="68">
        <v>2844</v>
      </c>
    </row>
    <row r="183" spans="1:23" x14ac:dyDescent="0.25">
      <c r="A183" s="40">
        <v>1230013</v>
      </c>
      <c r="B183" s="40" t="s">
        <v>1265</v>
      </c>
      <c r="C183" s="68">
        <v>432</v>
      </c>
      <c r="D183" s="111">
        <v>186</v>
      </c>
      <c r="E183" s="40">
        <v>60000</v>
      </c>
      <c r="K183" s="108">
        <v>0</v>
      </c>
      <c r="L183" s="66">
        <f t="shared" si="4"/>
        <v>480000</v>
      </c>
      <c r="M183" s="153">
        <f>-PMT('Interface - Substantial impacts'!$I$42,'Interface - Substantial impacts'!$I$40,'DW Facility data'!L183)</f>
        <v>37381.723307667657</v>
      </c>
      <c r="N183" s="169">
        <f t="shared" si="5"/>
        <v>33792</v>
      </c>
      <c r="O183" s="85">
        <v>75358</v>
      </c>
      <c r="P183" s="81">
        <v>47298</v>
      </c>
      <c r="V183" s="103" t="s">
        <v>1499</v>
      </c>
      <c r="W183" s="68">
        <v>221</v>
      </c>
    </row>
    <row r="184" spans="1:23" x14ac:dyDescent="0.25">
      <c r="A184" s="40">
        <v>1230014</v>
      </c>
      <c r="B184" s="40" t="s">
        <v>1547</v>
      </c>
      <c r="C184" s="68">
        <v>790</v>
      </c>
      <c r="D184" s="111">
        <v>353</v>
      </c>
      <c r="E184" s="40">
        <v>30000</v>
      </c>
      <c r="K184" s="108">
        <v>0</v>
      </c>
      <c r="L184" s="66">
        <f t="shared" si="4"/>
        <v>240000</v>
      </c>
      <c r="M184" s="153">
        <f>-PMT('Interface - Substantial impacts'!$I$42,'Interface - Substantial impacts'!$I$40,'DW Facility data'!L184)</f>
        <v>18690.861653833828</v>
      </c>
      <c r="N184" s="169">
        <f t="shared" si="5"/>
        <v>16896</v>
      </c>
      <c r="O184" s="85">
        <v>36522</v>
      </c>
      <c r="P184" s="81">
        <v>18040</v>
      </c>
      <c r="V184" s="103" t="s">
        <v>1501</v>
      </c>
      <c r="W184" s="68">
        <v>782</v>
      </c>
    </row>
    <row r="185" spans="1:23" x14ac:dyDescent="0.25">
      <c r="A185" s="40">
        <v>1240001</v>
      </c>
      <c r="B185" s="40" t="s">
        <v>975</v>
      </c>
      <c r="C185" s="68">
        <v>18492</v>
      </c>
      <c r="D185" s="112">
        <v>8672</v>
      </c>
      <c r="E185" s="40">
        <v>4800000</v>
      </c>
      <c r="F185" s="43">
        <v>700000</v>
      </c>
      <c r="K185" s="108">
        <v>700000</v>
      </c>
      <c r="L185" s="66">
        <f t="shared" si="4"/>
        <v>38400000</v>
      </c>
      <c r="M185" s="153">
        <f>-PMT('Interface - Substantial impacts'!$I$42,'Interface - Substantial impacts'!$I$40,'DW Facility data'!L185)</f>
        <v>2990537.8646134124</v>
      </c>
      <c r="N185" s="169">
        <f t="shared" si="5"/>
        <v>2703360</v>
      </c>
      <c r="O185" s="85">
        <v>1697778</v>
      </c>
      <c r="P185" s="81">
        <v>184771</v>
      </c>
      <c r="V185" s="103" t="s">
        <v>1959</v>
      </c>
      <c r="W185" s="68">
        <v>58</v>
      </c>
    </row>
    <row r="186" spans="1:23" x14ac:dyDescent="0.25">
      <c r="A186" s="40">
        <v>1240004</v>
      </c>
      <c r="B186" s="40" t="s">
        <v>1925</v>
      </c>
      <c r="C186" s="68">
        <v>583</v>
      </c>
      <c r="D186" s="111">
        <v>317</v>
      </c>
      <c r="E186" s="40">
        <v>80000</v>
      </c>
      <c r="K186" s="108">
        <v>0</v>
      </c>
      <c r="L186" s="66">
        <f t="shared" si="4"/>
        <v>640000</v>
      </c>
      <c r="M186" s="153">
        <f>-PMT('Interface - Substantial impacts'!$I$42,'Interface - Substantial impacts'!$I$40,'DW Facility data'!L186)</f>
        <v>49842.297743556883</v>
      </c>
      <c r="N186" s="169">
        <f t="shared" si="5"/>
        <v>45056</v>
      </c>
      <c r="O186" s="85">
        <v>66795</v>
      </c>
      <c r="P186" s="81">
        <v>97371</v>
      </c>
      <c r="V186" s="103" t="s">
        <v>1802</v>
      </c>
      <c r="W186" s="68">
        <v>86697</v>
      </c>
    </row>
    <row r="187" spans="1:23" x14ac:dyDescent="0.25">
      <c r="A187" s="40">
        <v>1240005</v>
      </c>
      <c r="B187" s="40" t="s">
        <v>1704</v>
      </c>
      <c r="C187" s="68">
        <v>694</v>
      </c>
      <c r="D187" s="111">
        <v>285</v>
      </c>
      <c r="E187" s="40">
        <v>100000</v>
      </c>
      <c r="K187" s="108">
        <v>0</v>
      </c>
      <c r="L187" s="66">
        <f t="shared" si="4"/>
        <v>800000</v>
      </c>
      <c r="M187" s="153">
        <f>-PMT('Interface - Substantial impacts'!$I$42,'Interface - Substantial impacts'!$I$40,'DW Facility data'!L187)</f>
        <v>62302.872179446102</v>
      </c>
      <c r="N187" s="169">
        <f t="shared" si="5"/>
        <v>56320</v>
      </c>
      <c r="O187" s="85">
        <v>42946</v>
      </c>
      <c r="P187" s="81">
        <v>0</v>
      </c>
      <c r="V187" s="103" t="s">
        <v>1562</v>
      </c>
      <c r="W187" s="68">
        <v>75</v>
      </c>
    </row>
    <row r="188" spans="1:23" x14ac:dyDescent="0.25">
      <c r="A188" s="40">
        <v>1240006</v>
      </c>
      <c r="B188" s="40" t="s">
        <v>1548</v>
      </c>
      <c r="C188" s="68">
        <v>153</v>
      </c>
      <c r="D188" s="111">
        <v>62</v>
      </c>
      <c r="E188" s="40">
        <v>38000</v>
      </c>
      <c r="K188" s="108">
        <v>0</v>
      </c>
      <c r="L188" s="66">
        <f t="shared" si="4"/>
        <v>304000</v>
      </c>
      <c r="M188" s="153">
        <f>-PMT('Interface - Substantial impacts'!$I$42,'Interface - Substantial impacts'!$I$40,'DW Facility data'!L188)</f>
        <v>23675.091428189517</v>
      </c>
      <c r="N188" s="169">
        <f t="shared" si="5"/>
        <v>21401.600000000002</v>
      </c>
      <c r="O188" s="85">
        <v>8728</v>
      </c>
      <c r="P188" s="81">
        <v>0</v>
      </c>
      <c r="V188" s="103" t="s">
        <v>1697</v>
      </c>
      <c r="W188" s="68">
        <v>1712</v>
      </c>
    </row>
    <row r="189" spans="1:23" x14ac:dyDescent="0.25">
      <c r="A189" s="40">
        <v>1240007</v>
      </c>
      <c r="B189" s="40" t="s">
        <v>1045</v>
      </c>
      <c r="C189" s="68">
        <v>367</v>
      </c>
      <c r="D189" s="111">
        <v>180</v>
      </c>
      <c r="E189" s="40">
        <v>55000</v>
      </c>
      <c r="K189" s="108">
        <v>0</v>
      </c>
      <c r="L189" s="66">
        <f t="shared" si="4"/>
        <v>440000</v>
      </c>
      <c r="M189" s="153">
        <f>-PMT('Interface - Substantial impacts'!$I$42,'Interface - Substantial impacts'!$I$40,'DW Facility data'!L189)</f>
        <v>34266.579698695357</v>
      </c>
      <c r="N189" s="169">
        <f t="shared" si="5"/>
        <v>30976.000000000004</v>
      </c>
      <c r="O189" s="85">
        <v>17313</v>
      </c>
      <c r="P189" s="81">
        <v>0</v>
      </c>
      <c r="V189" s="103" t="s">
        <v>1963</v>
      </c>
      <c r="W189" s="68">
        <v>73</v>
      </c>
    </row>
    <row r="190" spans="1:23" x14ac:dyDescent="0.25">
      <c r="A190" s="40">
        <v>1240008</v>
      </c>
      <c r="B190" s="40" t="s">
        <v>1958</v>
      </c>
      <c r="C190" s="68">
        <v>264</v>
      </c>
      <c r="D190" s="111">
        <v>146</v>
      </c>
      <c r="E190" s="40">
        <v>28000</v>
      </c>
      <c r="K190" s="108">
        <v>0</v>
      </c>
      <c r="L190" s="66">
        <f t="shared" si="4"/>
        <v>224000</v>
      </c>
      <c r="M190" s="153">
        <f>-PMT('Interface - Substantial impacts'!$I$42,'Interface - Substantial impacts'!$I$40,'DW Facility data'!L190)</f>
        <v>17444.804210244907</v>
      </c>
      <c r="N190" s="169">
        <f t="shared" si="5"/>
        <v>15769.6</v>
      </c>
      <c r="O190" s="85">
        <v>126387</v>
      </c>
      <c r="P190" s="81">
        <v>44853</v>
      </c>
      <c r="V190" s="103" t="s">
        <v>1568</v>
      </c>
      <c r="W190" s="68">
        <v>133</v>
      </c>
    </row>
    <row r="191" spans="1:23" x14ac:dyDescent="0.25">
      <c r="A191" s="40">
        <v>1240009</v>
      </c>
      <c r="B191" s="40" t="s">
        <v>1734</v>
      </c>
      <c r="C191" s="68">
        <v>508</v>
      </c>
      <c r="D191" s="111">
        <v>237</v>
      </c>
      <c r="E191" s="40">
        <v>150000</v>
      </c>
      <c r="K191" s="108">
        <v>0</v>
      </c>
      <c r="L191" s="66">
        <f t="shared" si="4"/>
        <v>1200000</v>
      </c>
      <c r="M191" s="153">
        <f>-PMT('Interface - Substantial impacts'!$I$42,'Interface - Substantial impacts'!$I$40,'DW Facility data'!L191)</f>
        <v>93454.308269169138</v>
      </c>
      <c r="N191" s="169">
        <f t="shared" si="5"/>
        <v>84480</v>
      </c>
      <c r="O191" s="85">
        <v>152940</v>
      </c>
      <c r="P191" s="81">
        <v>0</v>
      </c>
      <c r="V191" s="103" t="s">
        <v>1452</v>
      </c>
      <c r="W191" s="68">
        <v>68855</v>
      </c>
    </row>
    <row r="192" spans="1:23" x14ac:dyDescent="0.25">
      <c r="A192" s="40">
        <v>1240010</v>
      </c>
      <c r="B192" s="40" t="s">
        <v>1735</v>
      </c>
      <c r="C192" s="68">
        <v>568</v>
      </c>
      <c r="D192" s="111">
        <v>309</v>
      </c>
      <c r="E192" s="40">
        <v>120000</v>
      </c>
      <c r="K192" s="108">
        <v>0</v>
      </c>
      <c r="L192" s="66">
        <f t="shared" si="4"/>
        <v>960000</v>
      </c>
      <c r="M192" s="153">
        <f>-PMT('Interface - Substantial impacts'!$I$42,'Interface - Substantial impacts'!$I$40,'DW Facility data'!L192)</f>
        <v>74763.446615335313</v>
      </c>
      <c r="N192" s="169">
        <f t="shared" si="5"/>
        <v>67584</v>
      </c>
      <c r="O192" s="85">
        <v>39670</v>
      </c>
      <c r="P192" s="81">
        <v>0</v>
      </c>
      <c r="V192" s="103" t="s">
        <v>1599</v>
      </c>
      <c r="W192" s="68">
        <v>546</v>
      </c>
    </row>
    <row r="193" spans="1:23" x14ac:dyDescent="0.25">
      <c r="A193" s="40">
        <v>1240011</v>
      </c>
      <c r="B193" s="40" t="s">
        <v>1878</v>
      </c>
      <c r="C193" s="68">
        <v>321</v>
      </c>
      <c r="D193" s="111">
        <v>199</v>
      </c>
      <c r="E193" s="40">
        <v>58000</v>
      </c>
      <c r="K193" s="108">
        <v>0</v>
      </c>
      <c r="L193" s="66">
        <f t="shared" si="4"/>
        <v>464000</v>
      </c>
      <c r="M193" s="153">
        <f>-PMT('Interface - Substantial impacts'!$I$42,'Interface - Substantial impacts'!$I$40,'DW Facility data'!L193)</f>
        <v>36135.665864078735</v>
      </c>
      <c r="N193" s="169">
        <f t="shared" si="5"/>
        <v>32665.600000000002</v>
      </c>
      <c r="O193" s="85">
        <v>92377</v>
      </c>
      <c r="P193" s="81">
        <v>43335</v>
      </c>
      <c r="V193" s="103" t="s">
        <v>1586</v>
      </c>
      <c r="W193" s="68">
        <v>3278</v>
      </c>
    </row>
    <row r="194" spans="1:23" x14ac:dyDescent="0.25">
      <c r="A194" s="40">
        <v>1240012</v>
      </c>
      <c r="B194" s="40" t="s">
        <v>1736</v>
      </c>
      <c r="C194" s="68">
        <v>252</v>
      </c>
      <c r="D194" s="111">
        <v>111</v>
      </c>
      <c r="E194" s="40">
        <v>45000</v>
      </c>
      <c r="K194" s="108">
        <v>0</v>
      </c>
      <c r="L194" s="66">
        <f t="shared" ref="L194:L257" si="6">E194*8</f>
        <v>360000</v>
      </c>
      <c r="M194" s="153">
        <f>-PMT('Interface - Substantial impacts'!$I$42,'Interface - Substantial impacts'!$I$40,'DW Facility data'!L194)</f>
        <v>28036.292480750744</v>
      </c>
      <c r="N194" s="169">
        <f t="shared" si="5"/>
        <v>25344</v>
      </c>
      <c r="O194" s="85">
        <v>43709</v>
      </c>
      <c r="P194" s="81">
        <v>13980</v>
      </c>
      <c r="V194" s="103" t="s">
        <v>1887</v>
      </c>
      <c r="W194" s="68">
        <v>11786</v>
      </c>
    </row>
    <row r="195" spans="1:23" x14ac:dyDescent="0.25">
      <c r="A195" s="40">
        <v>1240013</v>
      </c>
      <c r="B195" s="40" t="s">
        <v>1737</v>
      </c>
      <c r="C195" s="68">
        <v>308</v>
      </c>
      <c r="D195" s="111">
        <v>156</v>
      </c>
      <c r="E195" s="40">
        <v>52000</v>
      </c>
      <c r="K195" s="108">
        <v>0</v>
      </c>
      <c r="L195" s="66">
        <f t="shared" si="6"/>
        <v>416000</v>
      </c>
      <c r="M195" s="153">
        <f>-PMT('Interface - Substantial impacts'!$I$42,'Interface - Substantial impacts'!$I$40,'DW Facility data'!L195)</f>
        <v>32397.493533311968</v>
      </c>
      <c r="N195" s="169">
        <f t="shared" ref="N195:N258" si="7">L195*0.0704</f>
        <v>29286.400000000001</v>
      </c>
      <c r="O195" s="85">
        <v>40262</v>
      </c>
      <c r="P195" s="81">
        <v>0</v>
      </c>
      <c r="V195" s="103" t="s">
        <v>1713</v>
      </c>
      <c r="W195" s="68">
        <v>9176</v>
      </c>
    </row>
    <row r="196" spans="1:23" x14ac:dyDescent="0.25">
      <c r="A196" s="40">
        <v>1240014</v>
      </c>
      <c r="B196" s="40" t="s">
        <v>2028</v>
      </c>
      <c r="C196" s="68">
        <v>52</v>
      </c>
      <c r="D196" s="111">
        <v>28</v>
      </c>
      <c r="E196" s="40">
        <v>12000</v>
      </c>
      <c r="K196" s="108">
        <v>0</v>
      </c>
      <c r="L196" s="66">
        <f t="shared" si="6"/>
        <v>96000</v>
      </c>
      <c r="M196" s="153">
        <f>-PMT('Interface - Substantial impacts'!$I$42,'Interface - Substantial impacts'!$I$40,'DW Facility data'!L196)</f>
        <v>7476.3446615335315</v>
      </c>
      <c r="N196" s="169">
        <f t="shared" si="7"/>
        <v>6758.4000000000005</v>
      </c>
      <c r="O196" s="85">
        <v>2471</v>
      </c>
      <c r="P196" s="81">
        <v>0</v>
      </c>
      <c r="V196" s="103" t="s">
        <v>1249</v>
      </c>
      <c r="W196" s="68">
        <v>177</v>
      </c>
    </row>
    <row r="197" spans="1:23" x14ac:dyDescent="0.25">
      <c r="A197" s="40">
        <v>1240015</v>
      </c>
      <c r="B197" s="108" t="s">
        <v>1956</v>
      </c>
      <c r="C197" s="68">
        <v>47</v>
      </c>
      <c r="D197" s="111">
        <v>28</v>
      </c>
      <c r="E197" s="40">
        <v>8000</v>
      </c>
      <c r="K197" s="108">
        <v>0</v>
      </c>
      <c r="L197" s="66">
        <f t="shared" si="6"/>
        <v>64000</v>
      </c>
      <c r="M197" s="153">
        <f>-PMT('Interface - Substantial impacts'!$I$42,'Interface - Substantial impacts'!$I$40,'DW Facility data'!L197)</f>
        <v>4984.2297743556874</v>
      </c>
      <c r="N197" s="169">
        <f t="shared" si="7"/>
        <v>4505.6000000000004</v>
      </c>
      <c r="O197" s="104">
        <v>2929</v>
      </c>
      <c r="P197" s="81">
        <v>0</v>
      </c>
      <c r="V197" s="109"/>
      <c r="W197" s="69"/>
    </row>
    <row r="198" spans="1:23" x14ac:dyDescent="0.25">
      <c r="A198" s="40">
        <v>1240016</v>
      </c>
      <c r="B198" s="40" t="s">
        <v>1936</v>
      </c>
      <c r="C198" s="68">
        <v>134</v>
      </c>
      <c r="D198" s="111">
        <v>104</v>
      </c>
      <c r="E198" s="40">
        <v>40000</v>
      </c>
      <c r="K198" s="108">
        <v>0</v>
      </c>
      <c r="L198" s="66">
        <f t="shared" si="6"/>
        <v>320000</v>
      </c>
      <c r="M198" s="153">
        <f>-PMT('Interface - Substantial impacts'!$I$42,'Interface - Substantial impacts'!$I$40,'DW Facility data'!L198)</f>
        <v>24921.148871778441</v>
      </c>
      <c r="N198" s="169">
        <f t="shared" si="7"/>
        <v>22528</v>
      </c>
      <c r="O198" s="85">
        <v>18263</v>
      </c>
      <c r="P198" s="81">
        <v>0</v>
      </c>
      <c r="V198" s="103" t="s">
        <v>1855</v>
      </c>
      <c r="W198" s="68">
        <v>64198</v>
      </c>
    </row>
    <row r="199" spans="1:23" x14ac:dyDescent="0.25">
      <c r="A199" s="40">
        <v>1250001</v>
      </c>
      <c r="B199" s="40" t="s">
        <v>1650</v>
      </c>
      <c r="C199" s="68">
        <v>4220</v>
      </c>
      <c r="D199" s="112">
        <v>1851</v>
      </c>
      <c r="E199" s="40">
        <v>1500000</v>
      </c>
      <c r="K199" s="108">
        <v>0</v>
      </c>
      <c r="L199" s="66">
        <f t="shared" si="6"/>
        <v>12000000</v>
      </c>
      <c r="M199" s="153">
        <f>-PMT('Interface - Substantial impacts'!$I$42,'Interface - Substantial impacts'!$I$40,'DW Facility data'!L199)</f>
        <v>934543.08269169147</v>
      </c>
      <c r="N199" s="169">
        <f t="shared" si="7"/>
        <v>844800</v>
      </c>
      <c r="O199" s="85">
        <v>668728</v>
      </c>
      <c r="P199" s="81">
        <v>1259149</v>
      </c>
      <c r="V199" s="103" t="s">
        <v>1679</v>
      </c>
      <c r="W199" s="68">
        <v>1027</v>
      </c>
    </row>
    <row r="200" spans="1:23" x14ac:dyDescent="0.25">
      <c r="A200" s="40">
        <v>1250005</v>
      </c>
      <c r="B200" s="40" t="s">
        <v>1065</v>
      </c>
      <c r="C200" s="68">
        <v>1250</v>
      </c>
      <c r="D200" s="111">
        <v>416</v>
      </c>
      <c r="E200" s="40">
        <v>263000</v>
      </c>
      <c r="K200" s="108">
        <v>0</v>
      </c>
      <c r="L200" s="66">
        <f t="shared" si="6"/>
        <v>2104000</v>
      </c>
      <c r="M200" s="153">
        <f>-PMT('Interface - Substantial impacts'!$I$42,'Interface - Substantial impacts'!$I$40,'DW Facility data'!L200)</f>
        <v>163856.55383194325</v>
      </c>
      <c r="N200" s="169">
        <f t="shared" si="7"/>
        <v>148121.60000000001</v>
      </c>
      <c r="O200" s="85">
        <v>111820</v>
      </c>
      <c r="P200" s="81">
        <v>76078</v>
      </c>
      <c r="V200" s="103" t="s">
        <v>1039</v>
      </c>
      <c r="W200" s="68">
        <v>1258</v>
      </c>
    </row>
    <row r="201" spans="1:23" x14ac:dyDescent="0.25">
      <c r="A201" s="40">
        <v>1250006</v>
      </c>
      <c r="B201" s="40" t="s">
        <v>1692</v>
      </c>
      <c r="C201" s="68">
        <v>176</v>
      </c>
      <c r="D201" s="111">
        <v>99</v>
      </c>
      <c r="E201" s="40">
        <v>30000</v>
      </c>
      <c r="K201" s="108">
        <v>0</v>
      </c>
      <c r="L201" s="66">
        <f t="shared" si="6"/>
        <v>240000</v>
      </c>
      <c r="M201" s="153">
        <f>-PMT('Interface - Substantial impacts'!$I$42,'Interface - Substantial impacts'!$I$40,'DW Facility data'!L201)</f>
        <v>18690.861653833828</v>
      </c>
      <c r="N201" s="169">
        <f t="shared" si="7"/>
        <v>16896</v>
      </c>
      <c r="O201" s="85">
        <v>21121</v>
      </c>
      <c r="P201" s="81">
        <v>0</v>
      </c>
      <c r="V201" s="103" t="s">
        <v>1455</v>
      </c>
      <c r="W201" s="68">
        <v>53494</v>
      </c>
    </row>
    <row r="202" spans="1:23" x14ac:dyDescent="0.25">
      <c r="A202" s="40">
        <v>1250007</v>
      </c>
      <c r="B202" s="40" t="s">
        <v>1668</v>
      </c>
      <c r="C202" s="68">
        <v>1894</v>
      </c>
      <c r="D202" s="111">
        <v>824</v>
      </c>
      <c r="E202" s="40">
        <v>430000</v>
      </c>
      <c r="K202" s="108">
        <v>0</v>
      </c>
      <c r="L202" s="66">
        <f t="shared" si="6"/>
        <v>3440000</v>
      </c>
      <c r="M202" s="153">
        <f>-PMT('Interface - Substantial impacts'!$I$42,'Interface - Substantial impacts'!$I$40,'DW Facility data'!L202)</f>
        <v>267902.35037161823</v>
      </c>
      <c r="N202" s="169">
        <f t="shared" si="7"/>
        <v>242176.00000000003</v>
      </c>
      <c r="O202" s="85">
        <v>266659</v>
      </c>
      <c r="P202" s="81">
        <v>26478</v>
      </c>
      <c r="V202" s="103" t="s">
        <v>1549</v>
      </c>
      <c r="W202" s="68">
        <v>279</v>
      </c>
    </row>
    <row r="203" spans="1:23" x14ac:dyDescent="0.25">
      <c r="A203" s="40">
        <v>1250012</v>
      </c>
      <c r="B203" s="40" t="s">
        <v>1173</v>
      </c>
      <c r="C203" s="68">
        <v>3769</v>
      </c>
      <c r="D203" s="112">
        <v>1451</v>
      </c>
      <c r="E203" s="40">
        <v>435000</v>
      </c>
      <c r="K203" s="108">
        <v>0</v>
      </c>
      <c r="L203" s="66">
        <f t="shared" si="6"/>
        <v>3480000</v>
      </c>
      <c r="M203" s="153">
        <f>-PMT('Interface - Substantial impacts'!$I$42,'Interface - Substantial impacts'!$I$40,'DW Facility data'!L203)</f>
        <v>271017.49398059055</v>
      </c>
      <c r="N203" s="169">
        <f t="shared" si="7"/>
        <v>244992.00000000003</v>
      </c>
      <c r="O203" s="85">
        <v>375933</v>
      </c>
      <c r="P203" s="81">
        <v>388532</v>
      </c>
      <c r="V203" s="103" t="s">
        <v>1509</v>
      </c>
      <c r="W203" s="68">
        <v>129</v>
      </c>
    </row>
    <row r="204" spans="1:23" x14ac:dyDescent="0.25">
      <c r="A204" s="40">
        <v>1250013</v>
      </c>
      <c r="B204" s="40" t="s">
        <v>1188</v>
      </c>
      <c r="C204" s="68">
        <v>16547</v>
      </c>
      <c r="D204" s="112">
        <v>7406</v>
      </c>
      <c r="E204" s="40">
        <v>2908000</v>
      </c>
      <c r="K204" s="108">
        <v>0</v>
      </c>
      <c r="L204" s="66">
        <f t="shared" si="6"/>
        <v>23264000</v>
      </c>
      <c r="M204" s="153">
        <f>-PMT('Interface - Substantial impacts'!$I$42,'Interface - Substantial impacts'!$I$40,'DW Facility data'!L204)</f>
        <v>1811767.5229782925</v>
      </c>
      <c r="N204" s="169">
        <f t="shared" si="7"/>
        <v>1637785.6000000001</v>
      </c>
      <c r="O204" s="85">
        <v>2978641</v>
      </c>
      <c r="P204" s="81">
        <v>1048364</v>
      </c>
      <c r="V204" s="103" t="s">
        <v>1490</v>
      </c>
      <c r="W204" s="68">
        <v>1276</v>
      </c>
    </row>
    <row r="205" spans="1:23" x14ac:dyDescent="0.25">
      <c r="A205" s="40">
        <v>1250018</v>
      </c>
      <c r="B205" s="40" t="s">
        <v>1693</v>
      </c>
      <c r="C205" s="68">
        <v>1113</v>
      </c>
      <c r="D205" s="111">
        <v>513</v>
      </c>
      <c r="E205" s="40">
        <v>200000</v>
      </c>
      <c r="K205" s="108">
        <v>0</v>
      </c>
      <c r="L205" s="66">
        <f t="shared" si="6"/>
        <v>1600000</v>
      </c>
      <c r="M205" s="153">
        <f>-PMT('Interface - Substantial impacts'!$I$42,'Interface - Substantial impacts'!$I$40,'DW Facility data'!L205)</f>
        <v>124605.7443588922</v>
      </c>
      <c r="N205" s="169">
        <f t="shared" si="7"/>
        <v>112640</v>
      </c>
      <c r="O205" s="85">
        <v>253473</v>
      </c>
      <c r="P205" s="81">
        <v>90277</v>
      </c>
      <c r="V205" s="103" t="s">
        <v>1180</v>
      </c>
      <c r="W205" s="68">
        <v>1115</v>
      </c>
    </row>
    <row r="206" spans="1:23" x14ac:dyDescent="0.25">
      <c r="A206" s="40">
        <v>1250020</v>
      </c>
      <c r="B206" s="40" t="s">
        <v>1537</v>
      </c>
      <c r="C206" s="68">
        <v>3726</v>
      </c>
      <c r="D206" s="112">
        <v>1656</v>
      </c>
      <c r="E206" s="40">
        <v>570000</v>
      </c>
      <c r="K206" s="108">
        <v>0</v>
      </c>
      <c r="L206" s="66">
        <f t="shared" si="6"/>
        <v>4560000</v>
      </c>
      <c r="M206" s="153">
        <f>-PMT('Interface - Substantial impacts'!$I$42,'Interface - Substantial impacts'!$I$40,'DW Facility data'!L206)</f>
        <v>355126.37142284273</v>
      </c>
      <c r="N206" s="169">
        <f t="shared" si="7"/>
        <v>321024</v>
      </c>
      <c r="O206" s="85">
        <v>562664</v>
      </c>
      <c r="P206" s="81">
        <v>0</v>
      </c>
      <c r="V206" s="103" t="s">
        <v>1862</v>
      </c>
      <c r="W206" s="68">
        <v>168</v>
      </c>
    </row>
    <row r="207" spans="1:23" x14ac:dyDescent="0.25">
      <c r="A207" s="40">
        <v>1250021</v>
      </c>
      <c r="B207" s="40" t="s">
        <v>1694</v>
      </c>
      <c r="C207" s="68">
        <v>223</v>
      </c>
      <c r="D207" s="111">
        <v>94</v>
      </c>
      <c r="E207" s="40">
        <v>20000</v>
      </c>
      <c r="K207" s="108">
        <v>0</v>
      </c>
      <c r="L207" s="66">
        <f t="shared" si="6"/>
        <v>160000</v>
      </c>
      <c r="M207" s="153">
        <f>-PMT('Interface - Substantial impacts'!$I$42,'Interface - Substantial impacts'!$I$40,'DW Facility data'!L207)</f>
        <v>12460.574435889221</v>
      </c>
      <c r="N207" s="169">
        <f t="shared" si="7"/>
        <v>11264</v>
      </c>
      <c r="O207" s="85">
        <v>43349</v>
      </c>
      <c r="P207" s="81">
        <v>0</v>
      </c>
      <c r="V207" s="103" t="s">
        <v>1625</v>
      </c>
      <c r="W207" s="68">
        <v>25835</v>
      </c>
    </row>
    <row r="208" spans="1:23" x14ac:dyDescent="0.25">
      <c r="A208" s="40">
        <v>1260001</v>
      </c>
      <c r="B208" s="40" t="s">
        <v>991</v>
      </c>
      <c r="C208" s="68">
        <v>469</v>
      </c>
      <c r="D208" s="111">
        <v>232</v>
      </c>
      <c r="E208" s="40">
        <v>120000</v>
      </c>
      <c r="K208" s="108">
        <v>0</v>
      </c>
      <c r="L208" s="66">
        <f t="shared" si="6"/>
        <v>960000</v>
      </c>
      <c r="M208" s="153">
        <f>-PMT('Interface - Substantial impacts'!$I$42,'Interface - Substantial impacts'!$I$40,'DW Facility data'!L208)</f>
        <v>74763.446615335313</v>
      </c>
      <c r="N208" s="169">
        <f t="shared" si="7"/>
        <v>67584</v>
      </c>
      <c r="O208" s="85">
        <v>99654</v>
      </c>
      <c r="P208" s="81">
        <v>654885</v>
      </c>
      <c r="V208" s="103" t="s">
        <v>1835</v>
      </c>
      <c r="W208" s="68">
        <v>4846</v>
      </c>
    </row>
    <row r="209" spans="1:23" x14ac:dyDescent="0.25">
      <c r="A209" s="40">
        <v>1260002</v>
      </c>
      <c r="B209" s="40" t="s">
        <v>1489</v>
      </c>
      <c r="C209" s="68">
        <v>366</v>
      </c>
      <c r="D209" s="111">
        <v>199</v>
      </c>
      <c r="E209" s="40">
        <v>223000</v>
      </c>
      <c r="F209" s="17">
        <v>845500</v>
      </c>
      <c r="K209" s="108">
        <v>845500</v>
      </c>
      <c r="L209" s="66">
        <f t="shared" si="6"/>
        <v>1784000</v>
      </c>
      <c r="M209" s="153">
        <f>-PMT('Interface - Substantial impacts'!$I$42,'Interface - Substantial impacts'!$I$40,'DW Facility data'!L209)</f>
        <v>138935.4049601648</v>
      </c>
      <c r="N209" s="169">
        <f t="shared" si="7"/>
        <v>125593.60000000001</v>
      </c>
      <c r="O209" s="85">
        <v>130321</v>
      </c>
      <c r="P209" s="81">
        <v>69087</v>
      </c>
      <c r="V209" s="103" t="s">
        <v>1740</v>
      </c>
      <c r="W209" s="68">
        <v>130</v>
      </c>
    </row>
    <row r="210" spans="1:23" x14ac:dyDescent="0.25">
      <c r="A210" s="40">
        <v>1260003</v>
      </c>
      <c r="B210" s="40" t="s">
        <v>1490</v>
      </c>
      <c r="C210" s="68">
        <v>1276</v>
      </c>
      <c r="D210" s="111">
        <v>590</v>
      </c>
      <c r="E210" s="40">
        <v>400000</v>
      </c>
      <c r="F210" s="43">
        <v>3996250</v>
      </c>
      <c r="K210" s="108">
        <v>3996250</v>
      </c>
      <c r="L210" s="66">
        <f t="shared" si="6"/>
        <v>3200000</v>
      </c>
      <c r="M210" s="153">
        <f>-PMT('Interface - Substantial impacts'!$I$42,'Interface - Substantial impacts'!$I$40,'DW Facility data'!L210)</f>
        <v>249211.48871778441</v>
      </c>
      <c r="N210" s="169">
        <f t="shared" si="7"/>
        <v>225280</v>
      </c>
      <c r="O210" s="85">
        <v>443971</v>
      </c>
      <c r="P210" s="81">
        <v>19702</v>
      </c>
      <c r="V210" s="103" t="s">
        <v>1917</v>
      </c>
      <c r="W210" s="68">
        <v>676</v>
      </c>
    </row>
    <row r="211" spans="1:23" x14ac:dyDescent="0.25">
      <c r="A211" s="40">
        <v>1260005</v>
      </c>
      <c r="B211" s="40" t="s">
        <v>1904</v>
      </c>
      <c r="C211" s="68">
        <v>384</v>
      </c>
      <c r="D211" s="111">
        <v>370</v>
      </c>
      <c r="E211" s="40">
        <v>147000</v>
      </c>
      <c r="K211" s="108">
        <v>0</v>
      </c>
      <c r="L211" s="66">
        <f t="shared" si="6"/>
        <v>1176000</v>
      </c>
      <c r="M211" s="153">
        <f>-PMT('Interface - Substantial impacts'!$I$42,'Interface - Substantial impacts'!$I$40,'DW Facility data'!L211)</f>
        <v>91585.222103785767</v>
      </c>
      <c r="N211" s="169">
        <f t="shared" si="7"/>
        <v>82790.400000000009</v>
      </c>
      <c r="O211" s="85">
        <v>93848</v>
      </c>
      <c r="P211" s="81">
        <v>55903</v>
      </c>
      <c r="V211" s="103" t="s">
        <v>1041</v>
      </c>
      <c r="W211" s="68">
        <v>497</v>
      </c>
    </row>
    <row r="212" spans="1:23" x14ac:dyDescent="0.25">
      <c r="A212" s="40">
        <v>1260006</v>
      </c>
      <c r="B212" s="40" t="s">
        <v>1081</v>
      </c>
      <c r="C212" s="68">
        <v>698</v>
      </c>
      <c r="D212" s="111">
        <v>288</v>
      </c>
      <c r="E212" s="40">
        <v>250000</v>
      </c>
      <c r="K212" s="108">
        <v>0</v>
      </c>
      <c r="L212" s="66">
        <f t="shared" si="6"/>
        <v>2000000</v>
      </c>
      <c r="M212" s="153">
        <f>-PMT('Interface - Substantial impacts'!$I$42,'Interface - Substantial impacts'!$I$40,'DW Facility data'!L212)</f>
        <v>155757.18044861525</v>
      </c>
      <c r="N212" s="169">
        <f t="shared" si="7"/>
        <v>140800</v>
      </c>
      <c r="O212" s="85">
        <v>240997</v>
      </c>
      <c r="P212" s="81">
        <v>111476</v>
      </c>
      <c r="V212" s="103" t="s">
        <v>1700</v>
      </c>
      <c r="W212" s="68">
        <v>549</v>
      </c>
    </row>
    <row r="213" spans="1:23" x14ac:dyDescent="0.25">
      <c r="A213" s="40">
        <v>1260007</v>
      </c>
      <c r="B213" s="40" t="s">
        <v>1886</v>
      </c>
      <c r="C213" s="68">
        <v>52</v>
      </c>
      <c r="D213" s="111">
        <v>37</v>
      </c>
      <c r="E213" s="40">
        <v>60000</v>
      </c>
      <c r="K213" s="108">
        <v>0</v>
      </c>
      <c r="L213" s="66">
        <f t="shared" si="6"/>
        <v>480000</v>
      </c>
      <c r="M213" s="153">
        <f>-PMT('Interface - Substantial impacts'!$I$42,'Interface - Substantial impacts'!$I$40,'DW Facility data'!L213)</f>
        <v>37381.723307667657</v>
      </c>
      <c r="N213" s="169">
        <f t="shared" si="7"/>
        <v>33792</v>
      </c>
      <c r="O213" s="85">
        <v>17030</v>
      </c>
      <c r="P213" s="81">
        <v>0</v>
      </c>
      <c r="V213" s="103" t="s">
        <v>1803</v>
      </c>
      <c r="W213" s="68">
        <v>3268</v>
      </c>
    </row>
    <row r="214" spans="1:23" x14ac:dyDescent="0.25">
      <c r="A214" s="40">
        <v>1260008</v>
      </c>
      <c r="B214" s="40" t="s">
        <v>1898</v>
      </c>
      <c r="C214" s="68">
        <v>166</v>
      </c>
      <c r="D214" s="111">
        <v>65</v>
      </c>
      <c r="E214" s="40">
        <v>37000</v>
      </c>
      <c r="K214" s="108">
        <v>0</v>
      </c>
      <c r="L214" s="66">
        <f t="shared" si="6"/>
        <v>296000</v>
      </c>
      <c r="M214" s="153">
        <f>-PMT('Interface - Substantial impacts'!$I$42,'Interface - Substantial impacts'!$I$40,'DW Facility data'!L214)</f>
        <v>23052.062706395056</v>
      </c>
      <c r="N214" s="169">
        <f t="shared" si="7"/>
        <v>20838.400000000001</v>
      </c>
      <c r="O214" s="85">
        <v>31156</v>
      </c>
      <c r="P214" s="81">
        <v>20875</v>
      </c>
      <c r="V214" s="103" t="s">
        <v>1043</v>
      </c>
      <c r="W214" s="68">
        <v>708</v>
      </c>
    </row>
    <row r="215" spans="1:23" x14ac:dyDescent="0.25">
      <c r="A215" s="40">
        <v>1270001</v>
      </c>
      <c r="B215" s="40" t="s">
        <v>1453</v>
      </c>
      <c r="C215" s="68">
        <v>89987</v>
      </c>
      <c r="D215" s="112">
        <v>36521</v>
      </c>
      <c r="E215" s="40">
        <v>20840000</v>
      </c>
      <c r="K215" s="108">
        <v>0</v>
      </c>
      <c r="L215" s="66">
        <f t="shared" si="6"/>
        <v>166720000</v>
      </c>
      <c r="M215" s="153">
        <f>-PMT('Interface - Substantial impacts'!$I$42,'Interface - Substantial impacts'!$I$40,'DW Facility data'!L215)</f>
        <v>12983918.562196566</v>
      </c>
      <c r="N215" s="169">
        <f t="shared" si="7"/>
        <v>11737088</v>
      </c>
      <c r="O215" s="85">
        <v>26533612</v>
      </c>
      <c r="P215" s="81">
        <v>132994</v>
      </c>
      <c r="V215" s="103" t="s">
        <v>1045</v>
      </c>
      <c r="W215" s="68">
        <v>367</v>
      </c>
    </row>
    <row r="216" spans="1:23" x14ac:dyDescent="0.25">
      <c r="A216" s="40">
        <v>1270004</v>
      </c>
      <c r="B216" s="108" t="s">
        <v>1777</v>
      </c>
      <c r="C216" s="68">
        <v>33782</v>
      </c>
      <c r="D216" s="112">
        <v>10889</v>
      </c>
      <c r="E216" s="40">
        <v>6040000</v>
      </c>
      <c r="K216" s="108">
        <v>0</v>
      </c>
      <c r="L216" s="66">
        <f t="shared" si="6"/>
        <v>48320000</v>
      </c>
      <c r="M216" s="153">
        <f>-PMT('Interface - Substantial impacts'!$I$42,'Interface - Substantial impacts'!$I$40,'DW Facility data'!L216)</f>
        <v>3763093.4796385444</v>
      </c>
      <c r="N216" s="169">
        <f t="shared" si="7"/>
        <v>3401728</v>
      </c>
      <c r="O216" s="104">
        <v>3924010</v>
      </c>
      <c r="P216" s="81">
        <v>2197202</v>
      </c>
      <c r="V216" s="109"/>
      <c r="W216" s="69"/>
    </row>
    <row r="217" spans="1:23" x14ac:dyDescent="0.25">
      <c r="A217" s="40">
        <v>1270005</v>
      </c>
      <c r="B217" s="40" t="s">
        <v>1454</v>
      </c>
      <c r="C217" s="68">
        <v>86478</v>
      </c>
      <c r="D217" s="112">
        <v>28953</v>
      </c>
      <c r="E217" s="40">
        <v>21800000</v>
      </c>
      <c r="K217" s="108">
        <v>0</v>
      </c>
      <c r="L217" s="66">
        <f t="shared" si="6"/>
        <v>174400000</v>
      </c>
      <c r="M217" s="153">
        <f>-PMT('Interface - Substantial impacts'!$I$42,'Interface - Substantial impacts'!$I$40,'DW Facility data'!L217)</f>
        <v>13582026.135119248</v>
      </c>
      <c r="N217" s="169">
        <f t="shared" si="7"/>
        <v>12277760</v>
      </c>
      <c r="O217" s="85">
        <v>17210961</v>
      </c>
      <c r="P217" s="81">
        <v>1157706</v>
      </c>
      <c r="V217" s="103" t="s">
        <v>1892</v>
      </c>
      <c r="W217" s="68">
        <v>403</v>
      </c>
    </row>
    <row r="218" spans="1:23" x14ac:dyDescent="0.25">
      <c r="A218" s="40">
        <v>1270006</v>
      </c>
      <c r="B218" s="40" t="s">
        <v>1595</v>
      </c>
      <c r="C218" s="68">
        <v>23919</v>
      </c>
      <c r="D218" s="112">
        <v>9214</v>
      </c>
      <c r="E218" s="40">
        <v>7808000</v>
      </c>
      <c r="K218" s="108">
        <v>0</v>
      </c>
      <c r="L218" s="66">
        <f t="shared" si="6"/>
        <v>62464000</v>
      </c>
      <c r="M218" s="153">
        <f>-PMT('Interface - Substantial impacts'!$I$42,'Interface - Substantial impacts'!$I$40,'DW Facility data'!L218)</f>
        <v>4864608.2597711515</v>
      </c>
      <c r="N218" s="169">
        <f t="shared" si="7"/>
        <v>4397465.6000000006</v>
      </c>
      <c r="O218" s="85">
        <v>4835642</v>
      </c>
      <c r="P218" s="81">
        <v>0</v>
      </c>
      <c r="V218" s="103" t="s">
        <v>1982</v>
      </c>
      <c r="W218" s="68">
        <v>70</v>
      </c>
    </row>
    <row r="219" spans="1:23" x14ac:dyDescent="0.25">
      <c r="A219" s="40">
        <v>1270008</v>
      </c>
      <c r="B219" s="40" t="s">
        <v>1910</v>
      </c>
      <c r="C219" s="68">
        <v>23330</v>
      </c>
      <c r="D219" s="112">
        <v>9650</v>
      </c>
      <c r="E219" s="40">
        <v>2160000</v>
      </c>
      <c r="K219" s="108">
        <v>0</v>
      </c>
      <c r="L219" s="66">
        <f t="shared" si="6"/>
        <v>17280000</v>
      </c>
      <c r="M219" s="153">
        <f>-PMT('Interface - Substantial impacts'!$I$42,'Interface - Substantial impacts'!$I$40,'DW Facility data'!L219)</f>
        <v>1345742.0390760356</v>
      </c>
      <c r="N219" s="169">
        <f t="shared" si="7"/>
        <v>1216512</v>
      </c>
      <c r="O219" s="85">
        <v>3356825</v>
      </c>
      <c r="P219" s="81">
        <v>60000</v>
      </c>
      <c r="V219" s="103" t="s">
        <v>1488</v>
      </c>
      <c r="W219" s="68">
        <v>603</v>
      </c>
    </row>
    <row r="220" spans="1:23" x14ac:dyDescent="0.25">
      <c r="A220" s="40">
        <v>1270010</v>
      </c>
      <c r="B220" s="40" t="s">
        <v>1855</v>
      </c>
      <c r="C220" s="68">
        <v>64198</v>
      </c>
      <c r="D220" s="112">
        <v>25446</v>
      </c>
      <c r="E220" s="40">
        <v>16150000</v>
      </c>
      <c r="K220" s="108">
        <v>0</v>
      </c>
      <c r="L220" s="66">
        <f t="shared" si="6"/>
        <v>129200000</v>
      </c>
      <c r="M220" s="153">
        <f>-PMT('Interface - Substantial impacts'!$I$42,'Interface - Substantial impacts'!$I$40,'DW Facility data'!L220)</f>
        <v>10061913.856980545</v>
      </c>
      <c r="N220" s="169">
        <f t="shared" si="7"/>
        <v>9095680</v>
      </c>
      <c r="O220" s="85">
        <v>9342242</v>
      </c>
      <c r="P220" s="81">
        <v>917452</v>
      </c>
      <c r="V220" s="103" t="s">
        <v>1047</v>
      </c>
      <c r="W220" s="68">
        <v>3493</v>
      </c>
    </row>
    <row r="221" spans="1:23" x14ac:dyDescent="0.25">
      <c r="A221" s="40">
        <v>1270011</v>
      </c>
      <c r="B221" s="40" t="s">
        <v>1455</v>
      </c>
      <c r="C221" s="68">
        <v>53494</v>
      </c>
      <c r="D221" s="112">
        <v>23621</v>
      </c>
      <c r="E221" s="40">
        <v>12604000</v>
      </c>
      <c r="K221" s="108">
        <v>0</v>
      </c>
      <c r="L221" s="66">
        <f t="shared" si="6"/>
        <v>100832000</v>
      </c>
      <c r="M221" s="153">
        <f>-PMT('Interface - Substantial impacts'!$I$42,'Interface - Substantial impacts'!$I$40,'DW Facility data'!L221)</f>
        <v>7852654.0094973864</v>
      </c>
      <c r="N221" s="169">
        <f t="shared" si="7"/>
        <v>7098572.8000000007</v>
      </c>
      <c r="O221" s="85">
        <v>21401340</v>
      </c>
      <c r="P221" s="81">
        <v>5736575</v>
      </c>
      <c r="V221" s="103" t="s">
        <v>1049</v>
      </c>
      <c r="W221" s="68">
        <v>2355</v>
      </c>
    </row>
    <row r="222" spans="1:23" x14ac:dyDescent="0.25">
      <c r="A222" s="40">
        <v>1270012</v>
      </c>
      <c r="B222" s="40" t="s">
        <v>1049</v>
      </c>
      <c r="C222" s="68">
        <v>2355</v>
      </c>
      <c r="D222" s="112">
        <v>1196</v>
      </c>
      <c r="E222" s="40">
        <v>576000</v>
      </c>
      <c r="K222" s="108">
        <v>0</v>
      </c>
      <c r="L222" s="66">
        <f t="shared" si="6"/>
        <v>4608000</v>
      </c>
      <c r="M222" s="153">
        <f>-PMT('Interface - Substantial impacts'!$I$42,'Interface - Substantial impacts'!$I$40,'DW Facility data'!L222)</f>
        <v>358864.54375360953</v>
      </c>
      <c r="N222" s="169">
        <f t="shared" si="7"/>
        <v>324403.20000000001</v>
      </c>
      <c r="O222" s="85">
        <v>569439</v>
      </c>
      <c r="P222" s="81">
        <v>335331</v>
      </c>
      <c r="V222" s="103" t="s">
        <v>1502</v>
      </c>
      <c r="W222" s="68">
        <v>2006</v>
      </c>
    </row>
    <row r="223" spans="1:23" x14ac:dyDescent="0.25">
      <c r="A223" s="40">
        <v>1270013</v>
      </c>
      <c r="B223" s="40" t="s">
        <v>1456</v>
      </c>
      <c r="C223" s="68">
        <v>1442</v>
      </c>
      <c r="D223" s="111">
        <v>642</v>
      </c>
      <c r="E223" s="40">
        <v>431000</v>
      </c>
      <c r="K223" s="108">
        <v>0</v>
      </c>
      <c r="L223" s="66">
        <f t="shared" si="6"/>
        <v>3448000</v>
      </c>
      <c r="M223" s="153">
        <f>-PMT('Interface - Substantial impacts'!$I$42,'Interface - Substantial impacts'!$I$40,'DW Facility data'!L223)</f>
        <v>268525.37909341266</v>
      </c>
      <c r="N223" s="169">
        <f t="shared" si="7"/>
        <v>242739.20000000001</v>
      </c>
      <c r="O223" s="85">
        <v>540854</v>
      </c>
      <c r="P223" s="81">
        <v>240343</v>
      </c>
      <c r="V223" s="103" t="s">
        <v>1531</v>
      </c>
      <c r="W223" s="68">
        <v>1250</v>
      </c>
    </row>
    <row r="224" spans="1:23" x14ac:dyDescent="0.25">
      <c r="A224" s="40">
        <v>1270014</v>
      </c>
      <c r="B224" s="40" t="s">
        <v>2018</v>
      </c>
      <c r="C224" s="68">
        <v>22552</v>
      </c>
      <c r="D224" s="112">
        <v>10037</v>
      </c>
      <c r="E224" s="40">
        <v>4500000</v>
      </c>
      <c r="K224" s="108">
        <v>0</v>
      </c>
      <c r="L224" s="66">
        <f t="shared" si="6"/>
        <v>36000000</v>
      </c>
      <c r="M224" s="153">
        <f>-PMT('Interface - Substantial impacts'!$I$42,'Interface - Substantial impacts'!$I$40,'DW Facility data'!L224)</f>
        <v>2803629.2480750745</v>
      </c>
      <c r="N224" s="169">
        <f t="shared" si="7"/>
        <v>2534400</v>
      </c>
      <c r="O224" s="85">
        <v>9208894</v>
      </c>
      <c r="P224" s="81">
        <v>58067</v>
      </c>
      <c r="V224" s="103" t="s">
        <v>1051</v>
      </c>
      <c r="W224" s="68">
        <v>10487</v>
      </c>
    </row>
    <row r="225" spans="1:23" x14ac:dyDescent="0.25">
      <c r="A225" s="40">
        <v>1270016</v>
      </c>
      <c r="B225" s="108" t="s">
        <v>1458</v>
      </c>
      <c r="C225" s="68">
        <v>19079</v>
      </c>
      <c r="D225" s="112">
        <v>9346</v>
      </c>
      <c r="E225" s="40">
        <v>3710000</v>
      </c>
      <c r="K225" s="108">
        <v>0</v>
      </c>
      <c r="L225" s="66">
        <f t="shared" si="6"/>
        <v>29680000</v>
      </c>
      <c r="M225" s="153">
        <f>-PMT('Interface - Substantial impacts'!$I$42,'Interface - Substantial impacts'!$I$40,'DW Facility data'!L225)</f>
        <v>2311436.5578574506</v>
      </c>
      <c r="N225" s="169">
        <f t="shared" si="7"/>
        <v>2089472.0000000002</v>
      </c>
      <c r="O225" s="104">
        <v>1700968</v>
      </c>
      <c r="P225" s="81">
        <v>338432</v>
      </c>
      <c r="V225" s="109"/>
      <c r="W225" s="69"/>
    </row>
    <row r="226" spans="1:23" x14ac:dyDescent="0.25">
      <c r="A226" s="40">
        <v>1270018</v>
      </c>
      <c r="B226" s="40" t="s">
        <v>1665</v>
      </c>
      <c r="C226" s="68">
        <v>1741</v>
      </c>
      <c r="D226" s="111">
        <v>728</v>
      </c>
      <c r="E226" s="40">
        <v>425000</v>
      </c>
      <c r="K226" s="108">
        <v>0</v>
      </c>
      <c r="L226" s="66">
        <f t="shared" si="6"/>
        <v>3400000</v>
      </c>
      <c r="M226" s="153">
        <f>-PMT('Interface - Substantial impacts'!$I$42,'Interface - Substantial impacts'!$I$40,'DW Facility data'!L226)</f>
        <v>264787.20676264592</v>
      </c>
      <c r="N226" s="169">
        <f t="shared" si="7"/>
        <v>239360</v>
      </c>
      <c r="O226" s="85">
        <v>375273</v>
      </c>
      <c r="P226" s="81">
        <v>91551</v>
      </c>
      <c r="V226" s="103" t="s">
        <v>1053</v>
      </c>
      <c r="W226" s="68">
        <v>24453</v>
      </c>
    </row>
    <row r="227" spans="1:23" x14ac:dyDescent="0.25">
      <c r="A227" s="40">
        <v>1270019</v>
      </c>
      <c r="B227" s="40" t="s">
        <v>1807</v>
      </c>
      <c r="C227" s="68">
        <v>646</v>
      </c>
      <c r="D227" s="111">
        <v>288</v>
      </c>
      <c r="E227" s="40">
        <v>162000</v>
      </c>
      <c r="F227" s="43">
        <v>970000</v>
      </c>
      <c r="K227" s="108">
        <v>970000</v>
      </c>
      <c r="L227" s="66">
        <f t="shared" si="6"/>
        <v>1296000</v>
      </c>
      <c r="M227" s="153">
        <f>-PMT('Interface - Substantial impacts'!$I$42,'Interface - Substantial impacts'!$I$40,'DW Facility data'!L227)</f>
        <v>100930.65293070268</v>
      </c>
      <c r="N227" s="169">
        <f t="shared" si="7"/>
        <v>91238.400000000009</v>
      </c>
      <c r="O227" s="85">
        <v>157207</v>
      </c>
      <c r="P227" s="81">
        <v>50221</v>
      </c>
      <c r="V227" s="103" t="s">
        <v>1649</v>
      </c>
      <c r="W227" s="68">
        <v>23632</v>
      </c>
    </row>
    <row r="228" spans="1:23" x14ac:dyDescent="0.25">
      <c r="A228" s="108">
        <v>1270020</v>
      </c>
      <c r="B228" s="108" t="s">
        <v>1459</v>
      </c>
      <c r="C228" s="68">
        <v>70253</v>
      </c>
      <c r="D228" s="112">
        <v>28671</v>
      </c>
      <c r="E228" s="40">
        <v>18518000</v>
      </c>
      <c r="K228" s="108">
        <v>0</v>
      </c>
      <c r="L228" s="66">
        <f t="shared" si="6"/>
        <v>148144000</v>
      </c>
      <c r="M228" s="153">
        <f>-PMT('Interface - Substantial impacts'!$I$42,'Interface - Substantial impacts'!$I$40,'DW Facility data'!L228)</f>
        <v>11537245.870189829</v>
      </c>
      <c r="N228" s="169">
        <f t="shared" si="7"/>
        <v>10429337.600000001</v>
      </c>
      <c r="O228" s="104">
        <v>6918170</v>
      </c>
      <c r="P228" s="81">
        <v>0</v>
      </c>
      <c r="V228" s="109"/>
      <c r="W228" s="69"/>
    </row>
    <row r="229" spans="1:23" x14ac:dyDescent="0.25">
      <c r="A229" s="40">
        <v>1270021</v>
      </c>
      <c r="B229" s="40" t="s">
        <v>1854</v>
      </c>
      <c r="C229" s="68">
        <v>1743</v>
      </c>
      <c r="D229" s="111">
        <v>770</v>
      </c>
      <c r="E229" s="40">
        <v>511000</v>
      </c>
      <c r="K229" s="108">
        <v>0</v>
      </c>
      <c r="L229" s="66">
        <f t="shared" si="6"/>
        <v>4088000</v>
      </c>
      <c r="M229" s="153">
        <f>-PMT('Interface - Substantial impacts'!$I$42,'Interface - Substantial impacts'!$I$40,'DW Facility data'!L229)</f>
        <v>318367.67683696956</v>
      </c>
      <c r="N229" s="169">
        <f t="shared" si="7"/>
        <v>287795.20000000001</v>
      </c>
      <c r="O229" s="85">
        <v>404059</v>
      </c>
      <c r="P229" s="81">
        <v>386301</v>
      </c>
      <c r="V229" s="103" t="s">
        <v>1613</v>
      </c>
      <c r="W229" s="68">
        <v>177</v>
      </c>
    </row>
    <row r="230" spans="1:23" x14ac:dyDescent="0.25">
      <c r="A230" s="40">
        <v>1270023</v>
      </c>
      <c r="B230" s="40" t="s">
        <v>1618</v>
      </c>
      <c r="C230" s="68">
        <v>6837</v>
      </c>
      <c r="D230" s="112">
        <v>2347</v>
      </c>
      <c r="E230" s="40">
        <v>1200000</v>
      </c>
      <c r="K230" s="108">
        <v>0</v>
      </c>
      <c r="L230" s="66">
        <f t="shared" si="6"/>
        <v>9600000</v>
      </c>
      <c r="M230" s="153">
        <f>-PMT('Interface - Substantial impacts'!$I$42,'Interface - Substantial impacts'!$I$40,'DW Facility data'!L230)</f>
        <v>747634.4661533531</v>
      </c>
      <c r="N230" s="169">
        <f t="shared" si="7"/>
        <v>675840</v>
      </c>
      <c r="O230" s="85">
        <v>829490</v>
      </c>
      <c r="P230" s="81">
        <v>574975</v>
      </c>
      <c r="V230" s="103" t="s">
        <v>1055</v>
      </c>
      <c r="W230" s="68">
        <v>14119</v>
      </c>
    </row>
    <row r="231" spans="1:23" x14ac:dyDescent="0.25">
      <c r="A231" s="40">
        <v>1270024</v>
      </c>
      <c r="B231" s="40" t="s">
        <v>1627</v>
      </c>
      <c r="C231" s="68">
        <v>429954</v>
      </c>
      <c r="D231" s="112">
        <v>190105</v>
      </c>
      <c r="E231" s="40">
        <v>91300000</v>
      </c>
      <c r="K231" s="108">
        <v>0</v>
      </c>
      <c r="L231" s="66">
        <f t="shared" si="6"/>
        <v>730400000</v>
      </c>
      <c r="M231" s="153">
        <f>-PMT('Interface - Substantial impacts'!$I$42,'Interface - Substantial impacts'!$I$40,'DW Facility data'!L231)</f>
        <v>56882522.299834289</v>
      </c>
      <c r="N231" s="169">
        <f t="shared" si="7"/>
        <v>51420160</v>
      </c>
      <c r="O231" s="85">
        <v>63756000</v>
      </c>
      <c r="P231" s="81">
        <v>19113000</v>
      </c>
      <c r="V231" s="103" t="s">
        <v>1644</v>
      </c>
      <c r="W231" s="68">
        <v>804</v>
      </c>
    </row>
    <row r="232" spans="1:23" x14ac:dyDescent="0.25">
      <c r="A232" s="40">
        <v>1270031</v>
      </c>
      <c r="B232" s="40" t="s">
        <v>1460</v>
      </c>
      <c r="C232" s="68">
        <v>53781</v>
      </c>
      <c r="D232" s="112">
        <v>24432</v>
      </c>
      <c r="E232" s="40">
        <v>10705000</v>
      </c>
      <c r="K232" s="108">
        <v>0</v>
      </c>
      <c r="L232" s="66">
        <f t="shared" si="6"/>
        <v>85640000</v>
      </c>
      <c r="M232" s="153">
        <f>-PMT('Interface - Substantial impacts'!$I$42,'Interface - Substantial impacts'!$I$40,'DW Facility data'!L232)</f>
        <v>6669522.4668097049</v>
      </c>
      <c r="N232" s="169">
        <f t="shared" si="7"/>
        <v>6029056</v>
      </c>
      <c r="O232" s="85">
        <v>14693634</v>
      </c>
      <c r="P232" s="81">
        <v>1729838</v>
      </c>
      <c r="V232" s="103" t="s">
        <v>1796</v>
      </c>
      <c r="W232" s="68">
        <v>295</v>
      </c>
    </row>
    <row r="233" spans="1:23" x14ac:dyDescent="0.25">
      <c r="A233" s="40">
        <v>1270034</v>
      </c>
      <c r="B233" s="40" t="s">
        <v>1461</v>
      </c>
      <c r="C233" s="68">
        <v>546</v>
      </c>
      <c r="D233" s="111">
        <v>235</v>
      </c>
      <c r="E233" s="40">
        <v>260000</v>
      </c>
      <c r="F233" s="43">
        <v>4200000</v>
      </c>
      <c r="K233" s="108">
        <v>4200000</v>
      </c>
      <c r="L233" s="66">
        <f t="shared" si="6"/>
        <v>2080000</v>
      </c>
      <c r="M233" s="153">
        <f>-PMT('Interface - Substantial impacts'!$I$42,'Interface - Substantial impacts'!$I$40,'DW Facility data'!L233)</f>
        <v>161987.46766655985</v>
      </c>
      <c r="N233" s="169">
        <f t="shared" si="7"/>
        <v>146432</v>
      </c>
      <c r="O233" s="85">
        <v>204526</v>
      </c>
      <c r="P233" s="81">
        <v>175325</v>
      </c>
      <c r="V233" s="103" t="s">
        <v>1941</v>
      </c>
      <c r="W233" s="68">
        <v>422</v>
      </c>
    </row>
    <row r="234" spans="1:23" x14ac:dyDescent="0.25">
      <c r="A234" s="40">
        <v>1270036</v>
      </c>
      <c r="B234" s="40" t="s">
        <v>1515</v>
      </c>
      <c r="C234" s="68">
        <v>8262</v>
      </c>
      <c r="D234" s="112">
        <v>2874</v>
      </c>
      <c r="E234" s="40">
        <v>932000</v>
      </c>
      <c r="K234" s="108">
        <v>0</v>
      </c>
      <c r="L234" s="66">
        <f t="shared" si="6"/>
        <v>7456000</v>
      </c>
      <c r="M234" s="153">
        <f>-PMT('Interface - Substantial impacts'!$I$42,'Interface - Substantial impacts'!$I$40,'DW Facility data'!L234)</f>
        <v>580662.7687124376</v>
      </c>
      <c r="N234" s="169">
        <f t="shared" si="7"/>
        <v>524902.40000000002</v>
      </c>
      <c r="O234" s="85">
        <v>1554014</v>
      </c>
      <c r="P234" s="81">
        <v>885053</v>
      </c>
      <c r="V234" s="103" t="s">
        <v>1754</v>
      </c>
      <c r="W234" s="68">
        <v>517</v>
      </c>
    </row>
    <row r="235" spans="1:23" x14ac:dyDescent="0.25">
      <c r="A235" s="40">
        <v>1270038</v>
      </c>
      <c r="B235" s="40" t="s">
        <v>1808</v>
      </c>
      <c r="C235" s="68">
        <v>9398</v>
      </c>
      <c r="D235" s="112">
        <v>4949</v>
      </c>
      <c r="E235" s="40">
        <v>1207000</v>
      </c>
      <c r="K235" s="108">
        <v>0</v>
      </c>
      <c r="L235" s="66">
        <f t="shared" si="6"/>
        <v>9656000</v>
      </c>
      <c r="M235" s="153">
        <f>-PMT('Interface - Substantial impacts'!$I$42,'Interface - Substantial impacts'!$I$40,'DW Facility data'!L235)</f>
        <v>751995.66720591439</v>
      </c>
      <c r="N235" s="169">
        <f t="shared" si="7"/>
        <v>679782.40000000002</v>
      </c>
      <c r="O235" s="85">
        <v>1539099</v>
      </c>
      <c r="P235" s="81">
        <v>1482466</v>
      </c>
      <c r="V235" s="103" t="s">
        <v>1976</v>
      </c>
      <c r="W235" s="68">
        <v>28</v>
      </c>
    </row>
    <row r="236" spans="1:23" x14ac:dyDescent="0.25">
      <c r="A236" s="40">
        <v>1270040</v>
      </c>
      <c r="B236" s="40" t="s">
        <v>1961</v>
      </c>
      <c r="C236" s="68">
        <v>21986</v>
      </c>
      <c r="D236" s="112">
        <v>8677</v>
      </c>
      <c r="E236" s="40">
        <v>2397000</v>
      </c>
      <c r="K236" s="108">
        <v>0</v>
      </c>
      <c r="L236" s="66">
        <f t="shared" si="6"/>
        <v>19176000</v>
      </c>
      <c r="M236" s="153">
        <f>-PMT('Interface - Substantial impacts'!$I$42,'Interface - Substantial impacts'!$I$40,'DW Facility data'!L236)</f>
        <v>1493399.846141323</v>
      </c>
      <c r="N236" s="169">
        <f t="shared" si="7"/>
        <v>1349990.4000000001</v>
      </c>
      <c r="O236" s="85">
        <v>4178233</v>
      </c>
      <c r="P236" s="81">
        <v>407837</v>
      </c>
      <c r="V236" s="103" t="s">
        <v>1814</v>
      </c>
      <c r="W236" s="68">
        <v>2711</v>
      </c>
    </row>
    <row r="237" spans="1:23" x14ac:dyDescent="0.25">
      <c r="A237" s="40">
        <v>1270041</v>
      </c>
      <c r="B237" s="109" t="s">
        <v>1462</v>
      </c>
      <c r="C237" s="69"/>
      <c r="D237" s="112">
        <v>3389</v>
      </c>
      <c r="E237" s="40">
        <v>604000</v>
      </c>
      <c r="K237" s="108">
        <v>0</v>
      </c>
      <c r="L237" s="66">
        <f t="shared" si="6"/>
        <v>4832000</v>
      </c>
      <c r="M237" s="153">
        <f>-PMT('Interface - Substantial impacts'!$I$42,'Interface - Substantial impacts'!$I$40,'DW Facility data'!L237)</f>
        <v>376309.34796385444</v>
      </c>
      <c r="N237" s="169">
        <f t="shared" si="7"/>
        <v>340172.80000000005</v>
      </c>
      <c r="O237" s="105"/>
      <c r="P237" s="86"/>
      <c r="V237" s="103" t="s">
        <v>1685</v>
      </c>
      <c r="W237" s="68">
        <v>20611</v>
      </c>
    </row>
    <row r="238" spans="1:23" x14ac:dyDescent="0.25">
      <c r="A238" s="40">
        <v>1270042</v>
      </c>
      <c r="B238" s="40" t="s">
        <v>2029</v>
      </c>
      <c r="C238" s="68">
        <v>2688</v>
      </c>
      <c r="D238" s="112">
        <v>1358</v>
      </c>
      <c r="E238" s="40">
        <v>1200000</v>
      </c>
      <c r="K238" s="108">
        <v>0</v>
      </c>
      <c r="L238" s="66">
        <f t="shared" si="6"/>
        <v>9600000</v>
      </c>
      <c r="M238" s="153">
        <f>-PMT('Interface - Substantial impacts'!$I$42,'Interface - Substantial impacts'!$I$40,'DW Facility data'!L238)</f>
        <v>747634.4661533531</v>
      </c>
      <c r="N238" s="169">
        <f t="shared" si="7"/>
        <v>675840</v>
      </c>
      <c r="O238" s="85">
        <v>384024</v>
      </c>
      <c r="P238" s="81">
        <v>23029</v>
      </c>
      <c r="V238" s="103" t="s">
        <v>1526</v>
      </c>
      <c r="W238" s="68">
        <v>559</v>
      </c>
    </row>
    <row r="239" spans="1:23" x14ac:dyDescent="0.25">
      <c r="A239" s="40">
        <v>1270044</v>
      </c>
      <c r="B239" s="40" t="s">
        <v>1463</v>
      </c>
      <c r="C239" s="68">
        <v>81026</v>
      </c>
      <c r="D239" s="112">
        <v>32897</v>
      </c>
      <c r="E239" s="40">
        <v>22400000</v>
      </c>
      <c r="K239" s="108">
        <v>0</v>
      </c>
      <c r="L239" s="66">
        <f t="shared" si="6"/>
        <v>179200000</v>
      </c>
      <c r="M239" s="153">
        <f>-PMT('Interface - Substantial impacts'!$I$42,'Interface - Substantial impacts'!$I$40,'DW Facility data'!L239)</f>
        <v>13955843.368195927</v>
      </c>
      <c r="N239" s="169">
        <f t="shared" si="7"/>
        <v>12615680</v>
      </c>
      <c r="O239" s="85">
        <v>18783200</v>
      </c>
      <c r="P239" s="81">
        <v>0</v>
      </c>
      <c r="V239" s="103" t="s">
        <v>1057</v>
      </c>
      <c r="W239" s="68">
        <v>1434</v>
      </c>
    </row>
    <row r="240" spans="1:23" x14ac:dyDescent="0.25">
      <c r="A240" s="40">
        <v>1270045</v>
      </c>
      <c r="B240" s="40" t="s">
        <v>1464</v>
      </c>
      <c r="C240" s="68">
        <v>36994</v>
      </c>
      <c r="D240" s="112">
        <v>15802</v>
      </c>
      <c r="E240" s="40">
        <v>5262000</v>
      </c>
      <c r="K240" s="108">
        <v>0</v>
      </c>
      <c r="L240" s="66">
        <f t="shared" si="6"/>
        <v>42096000</v>
      </c>
      <c r="M240" s="153">
        <f>-PMT('Interface - Substantial impacts'!$I$42,'Interface - Substantial impacts'!$I$40,'DW Facility data'!L240)</f>
        <v>3278377.1340824538</v>
      </c>
      <c r="N240" s="169">
        <f t="shared" si="7"/>
        <v>2963558.4000000004</v>
      </c>
      <c r="O240" s="85">
        <v>8060618</v>
      </c>
      <c r="P240" s="81">
        <v>1648548</v>
      </c>
      <c r="V240" s="103" t="s">
        <v>1575</v>
      </c>
      <c r="W240" s="68">
        <v>409</v>
      </c>
    </row>
    <row r="241" spans="1:23" x14ac:dyDescent="0.25">
      <c r="A241" s="40">
        <v>1270046</v>
      </c>
      <c r="B241" s="40" t="s">
        <v>1465</v>
      </c>
      <c r="C241" s="68">
        <v>14646</v>
      </c>
      <c r="D241" s="112">
        <v>6619</v>
      </c>
      <c r="E241" s="40">
        <v>2010000</v>
      </c>
      <c r="F241" s="43">
        <v>35337977</v>
      </c>
      <c r="K241" s="108">
        <v>35337977</v>
      </c>
      <c r="L241" s="66">
        <f t="shared" si="6"/>
        <v>16080000</v>
      </c>
      <c r="M241" s="153">
        <f>-PMT('Interface - Substantial impacts'!$I$42,'Interface - Substantial impacts'!$I$40,'DW Facility data'!L241)</f>
        <v>1252287.7308068664</v>
      </c>
      <c r="N241" s="169">
        <f t="shared" si="7"/>
        <v>1132032</v>
      </c>
      <c r="O241" s="85">
        <v>1088032</v>
      </c>
      <c r="P241" s="81">
        <v>484891</v>
      </c>
      <c r="V241" s="103" t="s">
        <v>1059</v>
      </c>
      <c r="W241" s="68">
        <v>493</v>
      </c>
    </row>
    <row r="242" spans="1:23" x14ac:dyDescent="0.25">
      <c r="A242" s="40">
        <v>1270047</v>
      </c>
      <c r="B242" s="40" t="s">
        <v>1196</v>
      </c>
      <c r="C242" s="68">
        <v>13295</v>
      </c>
      <c r="D242" s="112">
        <v>4574</v>
      </c>
      <c r="E242" s="40">
        <v>5168000</v>
      </c>
      <c r="K242" s="108">
        <v>0</v>
      </c>
      <c r="L242" s="66">
        <f t="shared" si="6"/>
        <v>41344000</v>
      </c>
      <c r="M242" s="153">
        <f>-PMT('Interface - Substantial impacts'!$I$42,'Interface - Substantial impacts'!$I$40,'DW Facility data'!L242)</f>
        <v>3219812.434233774</v>
      </c>
      <c r="N242" s="169">
        <f t="shared" si="7"/>
        <v>2910617.6000000001</v>
      </c>
      <c r="O242" s="85">
        <v>1791759</v>
      </c>
      <c r="P242" s="81">
        <v>132437</v>
      </c>
      <c r="V242" s="103" t="s">
        <v>1930</v>
      </c>
      <c r="W242" s="68">
        <v>1335</v>
      </c>
    </row>
    <row r="243" spans="1:23" x14ac:dyDescent="0.25">
      <c r="A243" s="40">
        <v>1270048</v>
      </c>
      <c r="B243" s="17" t="s">
        <v>1466</v>
      </c>
      <c r="C243" s="68">
        <v>9257</v>
      </c>
      <c r="D243" s="112">
        <v>4270</v>
      </c>
      <c r="E243" s="40">
        <v>1690000</v>
      </c>
      <c r="K243" s="108">
        <v>0</v>
      </c>
      <c r="L243" s="66">
        <f t="shared" si="6"/>
        <v>13520000</v>
      </c>
      <c r="M243" s="153">
        <f>-PMT('Interface - Substantial impacts'!$I$42,'Interface - Substantial impacts'!$I$40,'DW Facility data'!L243)</f>
        <v>1052918.539832639</v>
      </c>
      <c r="N243" s="169">
        <f t="shared" si="7"/>
        <v>951808</v>
      </c>
      <c r="O243" s="105"/>
      <c r="P243" s="86"/>
      <c r="V243" s="103" t="s">
        <v>1958</v>
      </c>
      <c r="W243" s="68">
        <v>264</v>
      </c>
    </row>
    <row r="244" spans="1:23" x14ac:dyDescent="0.25">
      <c r="A244" s="40">
        <v>1270049</v>
      </c>
      <c r="B244" s="40" t="s">
        <v>1591</v>
      </c>
      <c r="C244" s="68">
        <v>2307</v>
      </c>
      <c r="D244" s="111">
        <v>854</v>
      </c>
      <c r="E244" s="40">
        <v>402000</v>
      </c>
      <c r="K244" s="108">
        <v>0</v>
      </c>
      <c r="L244" s="66">
        <f t="shared" si="6"/>
        <v>3216000</v>
      </c>
      <c r="M244" s="153">
        <f>-PMT('Interface - Substantial impacts'!$I$42,'Interface - Substantial impacts'!$I$40,'DW Facility data'!L244)</f>
        <v>250457.54616137332</v>
      </c>
      <c r="N244" s="169">
        <f t="shared" si="7"/>
        <v>226406.40000000002</v>
      </c>
      <c r="O244" s="85">
        <v>302333</v>
      </c>
      <c r="P244" s="81">
        <v>134643</v>
      </c>
      <c r="V244" s="103" t="s">
        <v>1448</v>
      </c>
      <c r="W244" s="68">
        <v>29590</v>
      </c>
    </row>
    <row r="245" spans="1:23" x14ac:dyDescent="0.25">
      <c r="A245" s="40">
        <v>1270050</v>
      </c>
      <c r="B245" s="40" t="s">
        <v>1467</v>
      </c>
      <c r="C245" s="68">
        <v>50010</v>
      </c>
      <c r="D245" s="112">
        <v>24749</v>
      </c>
      <c r="E245" s="40">
        <v>8620000</v>
      </c>
      <c r="K245" s="108">
        <v>0</v>
      </c>
      <c r="L245" s="66">
        <f t="shared" si="6"/>
        <v>68960000</v>
      </c>
      <c r="M245" s="153">
        <f>-PMT('Interface - Substantial impacts'!$I$42,'Interface - Substantial impacts'!$I$40,'DW Facility data'!L245)</f>
        <v>5370507.5818682536</v>
      </c>
      <c r="N245" s="169">
        <f t="shared" si="7"/>
        <v>4854784</v>
      </c>
      <c r="O245" s="85">
        <v>4871862</v>
      </c>
      <c r="P245" s="81">
        <v>2496974</v>
      </c>
      <c r="V245" s="103" t="s">
        <v>1838</v>
      </c>
      <c r="W245" s="68">
        <v>216</v>
      </c>
    </row>
    <row r="246" spans="1:23" x14ac:dyDescent="0.25">
      <c r="A246" s="40">
        <v>1270051</v>
      </c>
      <c r="B246" s="40" t="s">
        <v>1641</v>
      </c>
      <c r="C246" s="68">
        <v>7783</v>
      </c>
      <c r="D246" s="112">
        <v>3085</v>
      </c>
      <c r="E246" s="40">
        <v>1000000</v>
      </c>
      <c r="K246" s="108">
        <v>0</v>
      </c>
      <c r="L246" s="66">
        <f t="shared" si="6"/>
        <v>8000000</v>
      </c>
      <c r="M246" s="153">
        <f>-PMT('Interface - Substantial impacts'!$I$42,'Interface - Substantial impacts'!$I$40,'DW Facility data'!L246)</f>
        <v>623028.72179446102</v>
      </c>
      <c r="N246" s="169">
        <f t="shared" si="7"/>
        <v>563200</v>
      </c>
      <c r="O246" s="85">
        <v>843275</v>
      </c>
      <c r="P246" s="81">
        <v>703601</v>
      </c>
      <c r="V246" s="103" t="s">
        <v>1532</v>
      </c>
      <c r="W246" s="68">
        <v>1371</v>
      </c>
    </row>
    <row r="247" spans="1:23" x14ac:dyDescent="0.25">
      <c r="A247" s="40">
        <v>1270053</v>
      </c>
      <c r="B247" s="40" t="s">
        <v>1468</v>
      </c>
      <c r="C247" s="68">
        <v>1734</v>
      </c>
      <c r="D247" s="112">
        <v>1340</v>
      </c>
      <c r="E247" s="40">
        <v>303000</v>
      </c>
      <c r="K247" s="108">
        <v>0</v>
      </c>
      <c r="L247" s="66">
        <f t="shared" si="6"/>
        <v>2424000</v>
      </c>
      <c r="M247" s="153">
        <f>-PMT('Interface - Substantial impacts'!$I$42,'Interface - Substantial impacts'!$I$40,'DW Facility data'!L247)</f>
        <v>188777.70270372168</v>
      </c>
      <c r="N247" s="169">
        <f t="shared" si="7"/>
        <v>170649.60000000001</v>
      </c>
      <c r="O247" s="85">
        <v>314944</v>
      </c>
      <c r="P247" s="81">
        <v>68427</v>
      </c>
      <c r="V247" s="103" t="s">
        <v>1916</v>
      </c>
      <c r="W247" s="68">
        <v>349</v>
      </c>
    </row>
    <row r="248" spans="1:23" x14ac:dyDescent="0.25">
      <c r="A248" s="40">
        <v>1270054</v>
      </c>
      <c r="B248" s="40" t="s">
        <v>1622</v>
      </c>
      <c r="C248" s="68">
        <v>4434</v>
      </c>
      <c r="D248" s="112">
        <v>2652</v>
      </c>
      <c r="E248" s="40">
        <v>1909000</v>
      </c>
      <c r="K248" s="108">
        <v>0</v>
      </c>
      <c r="L248" s="66">
        <f t="shared" si="6"/>
        <v>15272000</v>
      </c>
      <c r="M248" s="153">
        <f>-PMT('Interface - Substantial impacts'!$I$42,'Interface - Substantial impacts'!$I$40,'DW Facility data'!L248)</f>
        <v>1189361.8299056261</v>
      </c>
      <c r="N248" s="169">
        <f t="shared" si="7"/>
        <v>1075148.8</v>
      </c>
      <c r="O248" s="85">
        <v>698751</v>
      </c>
      <c r="P248" s="81">
        <v>348447</v>
      </c>
      <c r="V248" s="103" t="s">
        <v>1968</v>
      </c>
      <c r="W248" s="68">
        <v>124</v>
      </c>
    </row>
    <row r="249" spans="1:23" x14ac:dyDescent="0.25">
      <c r="A249" s="40">
        <v>1270073</v>
      </c>
      <c r="B249" s="40" t="s">
        <v>1706</v>
      </c>
      <c r="C249" s="68">
        <v>7262</v>
      </c>
      <c r="D249" s="112">
        <v>2312</v>
      </c>
      <c r="E249" s="40">
        <v>1006000</v>
      </c>
      <c r="K249" s="108">
        <v>0</v>
      </c>
      <c r="L249" s="66">
        <f t="shared" si="6"/>
        <v>8048000</v>
      </c>
      <c r="M249" s="153">
        <f>-PMT('Interface - Substantial impacts'!$I$42,'Interface - Substantial impacts'!$I$40,'DW Facility data'!L249)</f>
        <v>626766.89412522782</v>
      </c>
      <c r="N249" s="169">
        <f t="shared" si="7"/>
        <v>566579.20000000007</v>
      </c>
      <c r="O249" s="85">
        <v>1295279</v>
      </c>
      <c r="P249" s="81">
        <v>42857</v>
      </c>
      <c r="V249" s="103" t="s">
        <v>1931</v>
      </c>
      <c r="W249" s="68">
        <v>227</v>
      </c>
    </row>
    <row r="250" spans="1:23" x14ac:dyDescent="0.25">
      <c r="A250" s="40">
        <v>1270074</v>
      </c>
      <c r="B250" s="40" t="s">
        <v>1131</v>
      </c>
      <c r="C250" s="68">
        <v>2903</v>
      </c>
      <c r="D250" s="112">
        <v>1063</v>
      </c>
      <c r="E250" s="40">
        <v>156632</v>
      </c>
      <c r="K250" s="108">
        <v>0</v>
      </c>
      <c r="L250" s="66">
        <f t="shared" si="6"/>
        <v>1253056</v>
      </c>
      <c r="M250" s="153">
        <f>-PMT('Interface - Substantial impacts'!$I$42,'Interface - Substantial impacts'!$I$40,'DW Facility data'!L250)</f>
        <v>97586.234752110002</v>
      </c>
      <c r="N250" s="169">
        <f t="shared" si="7"/>
        <v>88215.142400000012</v>
      </c>
      <c r="O250" s="85">
        <v>133110</v>
      </c>
      <c r="P250" s="81">
        <v>0</v>
      </c>
      <c r="V250" s="103" t="s">
        <v>1640</v>
      </c>
      <c r="W250" s="68">
        <v>2273</v>
      </c>
    </row>
    <row r="251" spans="1:23" x14ac:dyDescent="0.25">
      <c r="A251" s="40">
        <v>1270075</v>
      </c>
      <c r="B251" s="40" t="s">
        <v>2023</v>
      </c>
      <c r="C251" s="68">
        <v>6185</v>
      </c>
      <c r="D251" s="112">
        <v>2330</v>
      </c>
      <c r="E251" s="40">
        <v>262800</v>
      </c>
      <c r="K251" s="108">
        <v>0</v>
      </c>
      <c r="L251" s="66">
        <f t="shared" si="6"/>
        <v>2102400</v>
      </c>
      <c r="M251" s="153">
        <f>-PMT('Interface - Substantial impacts'!$I$42,'Interface - Substantial impacts'!$I$40,'DW Facility data'!L251)</f>
        <v>163731.94808758434</v>
      </c>
      <c r="N251" s="169">
        <f t="shared" si="7"/>
        <v>148008.96000000002</v>
      </c>
      <c r="O251" s="85">
        <v>492774</v>
      </c>
      <c r="P251" s="81">
        <v>178952</v>
      </c>
      <c r="V251" s="103" t="s">
        <v>1734</v>
      </c>
      <c r="W251" s="68">
        <v>508</v>
      </c>
    </row>
    <row r="252" spans="1:23" x14ac:dyDescent="0.25">
      <c r="A252" s="40">
        <v>1280002</v>
      </c>
      <c r="B252" s="40" t="s">
        <v>1015</v>
      </c>
      <c r="C252" s="68">
        <v>2847</v>
      </c>
      <c r="D252" s="112">
        <v>1411</v>
      </c>
      <c r="E252" s="40">
        <v>500000</v>
      </c>
      <c r="K252" s="108">
        <v>0</v>
      </c>
      <c r="L252" s="66">
        <f t="shared" si="6"/>
        <v>4000000</v>
      </c>
      <c r="M252" s="153">
        <f>-PMT('Interface - Substantial impacts'!$I$42,'Interface - Substantial impacts'!$I$40,'DW Facility data'!L252)</f>
        <v>311514.36089723051</v>
      </c>
      <c r="N252" s="169">
        <f t="shared" si="7"/>
        <v>281600</v>
      </c>
      <c r="O252" s="85">
        <v>340359</v>
      </c>
      <c r="P252" s="81">
        <v>30029</v>
      </c>
      <c r="V252" s="103" t="s">
        <v>1486</v>
      </c>
      <c r="W252" s="68">
        <v>86</v>
      </c>
    </row>
    <row r="253" spans="1:23" x14ac:dyDescent="0.25">
      <c r="A253" s="40">
        <v>1280003</v>
      </c>
      <c r="B253" s="40" t="s">
        <v>1549</v>
      </c>
      <c r="C253" s="68">
        <v>279</v>
      </c>
      <c r="D253" s="111">
        <v>127</v>
      </c>
      <c r="E253" s="40">
        <v>35000</v>
      </c>
      <c r="K253" s="108">
        <v>0</v>
      </c>
      <c r="L253" s="66">
        <f t="shared" si="6"/>
        <v>280000</v>
      </c>
      <c r="M253" s="153">
        <f>-PMT('Interface - Substantial impacts'!$I$42,'Interface - Substantial impacts'!$I$40,'DW Facility data'!L253)</f>
        <v>21806.005262806135</v>
      </c>
      <c r="N253" s="169">
        <f t="shared" si="7"/>
        <v>19712</v>
      </c>
      <c r="O253" s="85">
        <v>60112</v>
      </c>
      <c r="P253" s="81">
        <v>31703</v>
      </c>
      <c r="V253" s="103" t="s">
        <v>1978</v>
      </c>
      <c r="W253" s="68">
        <v>376</v>
      </c>
    </row>
    <row r="254" spans="1:23" x14ac:dyDescent="0.25">
      <c r="A254" s="40">
        <v>1280004</v>
      </c>
      <c r="B254" s="40" t="s">
        <v>1550</v>
      </c>
      <c r="C254" s="68">
        <v>553</v>
      </c>
      <c r="D254" s="111">
        <v>292</v>
      </c>
      <c r="E254" s="40">
        <v>70000</v>
      </c>
      <c r="K254" s="108">
        <v>0</v>
      </c>
      <c r="L254" s="66">
        <f t="shared" si="6"/>
        <v>560000</v>
      </c>
      <c r="M254" s="153">
        <f>-PMT('Interface - Substantial impacts'!$I$42,'Interface - Substantial impacts'!$I$40,'DW Facility data'!L254)</f>
        <v>43612.01052561227</v>
      </c>
      <c r="N254" s="169">
        <f t="shared" si="7"/>
        <v>39424</v>
      </c>
      <c r="O254" s="85">
        <v>63646</v>
      </c>
      <c r="P254" s="81">
        <v>0</v>
      </c>
      <c r="V254" s="103" t="s">
        <v>1920</v>
      </c>
      <c r="W254" s="68">
        <v>784</v>
      </c>
    </row>
    <row r="255" spans="1:23" x14ac:dyDescent="0.25">
      <c r="A255" s="40">
        <v>1280005</v>
      </c>
      <c r="B255" s="40" t="s">
        <v>1926</v>
      </c>
      <c r="C255" s="68">
        <v>997</v>
      </c>
      <c r="D255" s="111">
        <v>479</v>
      </c>
      <c r="E255" s="40">
        <v>120000</v>
      </c>
      <c r="K255" s="108">
        <v>0</v>
      </c>
      <c r="L255" s="66">
        <f t="shared" si="6"/>
        <v>960000</v>
      </c>
      <c r="M255" s="153">
        <f>-PMT('Interface - Substantial impacts'!$I$42,'Interface - Substantial impacts'!$I$40,'DW Facility data'!L255)</f>
        <v>74763.446615335313</v>
      </c>
      <c r="N255" s="169">
        <f t="shared" si="7"/>
        <v>67584</v>
      </c>
      <c r="O255" s="85">
        <v>145488</v>
      </c>
      <c r="P255" s="81">
        <v>31417</v>
      </c>
      <c r="V255" s="103" t="s">
        <v>1061</v>
      </c>
      <c r="W255" s="68">
        <v>1687</v>
      </c>
    </row>
    <row r="256" spans="1:23" x14ac:dyDescent="0.25">
      <c r="A256" s="40">
        <v>1280007</v>
      </c>
      <c r="B256" s="108" t="s">
        <v>1868</v>
      </c>
      <c r="C256" s="68">
        <v>5276</v>
      </c>
      <c r="D256" s="112">
        <v>2324</v>
      </c>
      <c r="E256" s="40">
        <v>500000</v>
      </c>
      <c r="K256" s="108">
        <v>0</v>
      </c>
      <c r="L256" s="66">
        <f t="shared" si="6"/>
        <v>4000000</v>
      </c>
      <c r="M256" s="153">
        <f>-PMT('Interface - Substantial impacts'!$I$42,'Interface - Substantial impacts'!$I$40,'DW Facility data'!L256)</f>
        <v>311514.36089723051</v>
      </c>
      <c r="N256" s="169">
        <f t="shared" si="7"/>
        <v>281600</v>
      </c>
      <c r="O256" s="104">
        <v>693334</v>
      </c>
      <c r="P256" s="81">
        <v>2133721</v>
      </c>
      <c r="V256" s="108"/>
      <c r="W256" s="68"/>
    </row>
    <row r="257" spans="1:23" x14ac:dyDescent="0.25">
      <c r="A257" s="40">
        <v>1280010</v>
      </c>
      <c r="B257" s="40" t="s">
        <v>1738</v>
      </c>
      <c r="C257" s="68">
        <v>1256</v>
      </c>
      <c r="D257" s="111">
        <v>703</v>
      </c>
      <c r="E257" s="40">
        <v>210000</v>
      </c>
      <c r="K257" s="108">
        <v>0</v>
      </c>
      <c r="L257" s="66">
        <f t="shared" si="6"/>
        <v>1680000</v>
      </c>
      <c r="M257" s="153">
        <f>-PMT('Interface - Substantial impacts'!$I$42,'Interface - Substantial impacts'!$I$40,'DW Facility data'!L257)</f>
        <v>130836.03157683682</v>
      </c>
      <c r="N257" s="169">
        <f t="shared" si="7"/>
        <v>118272</v>
      </c>
      <c r="O257" s="85">
        <v>161633</v>
      </c>
      <c r="P257" s="81">
        <v>163441</v>
      </c>
      <c r="V257" s="103" t="s">
        <v>1514</v>
      </c>
      <c r="W257" s="68">
        <v>5744</v>
      </c>
    </row>
    <row r="258" spans="1:23" x14ac:dyDescent="0.25">
      <c r="A258" s="40">
        <v>1290001</v>
      </c>
      <c r="B258" s="40" t="s">
        <v>1761</v>
      </c>
      <c r="C258" s="68">
        <v>404</v>
      </c>
      <c r="D258" s="111">
        <v>220</v>
      </c>
      <c r="E258" s="40">
        <v>60000</v>
      </c>
      <c r="K258" s="108">
        <v>0</v>
      </c>
      <c r="L258" s="66">
        <f t="shared" ref="L258:L321" si="8">E258*8</f>
        <v>480000</v>
      </c>
      <c r="M258" s="153">
        <f>-PMT('Interface - Substantial impacts'!$I$42,'Interface - Substantial impacts'!$I$40,'DW Facility data'!L258)</f>
        <v>37381.723307667657</v>
      </c>
      <c r="N258" s="169">
        <f t="shared" si="7"/>
        <v>33792</v>
      </c>
      <c r="O258" s="85">
        <v>131141</v>
      </c>
      <c r="P258" s="81">
        <v>61138</v>
      </c>
      <c r="V258" s="103" t="s">
        <v>1735</v>
      </c>
      <c r="W258" s="68">
        <v>568</v>
      </c>
    </row>
    <row r="259" spans="1:23" x14ac:dyDescent="0.25">
      <c r="A259" s="40">
        <v>1290003</v>
      </c>
      <c r="B259" s="40" t="s">
        <v>1897</v>
      </c>
      <c r="C259" s="68">
        <v>4142</v>
      </c>
      <c r="D259" s="112">
        <v>2085</v>
      </c>
      <c r="E259" s="40">
        <v>1100000</v>
      </c>
      <c r="K259" s="108">
        <v>0</v>
      </c>
      <c r="L259" s="66">
        <f t="shared" si="8"/>
        <v>8800000</v>
      </c>
      <c r="M259" s="153">
        <f>-PMT('Interface - Substantial impacts'!$I$42,'Interface - Substantial impacts'!$I$40,'DW Facility data'!L259)</f>
        <v>685331.59397390706</v>
      </c>
      <c r="N259" s="169">
        <f t="shared" ref="N259:N322" si="9">L259*0.0704</f>
        <v>619520</v>
      </c>
      <c r="O259" s="85">
        <v>820015</v>
      </c>
      <c r="P259" s="81">
        <v>103710</v>
      </c>
      <c r="V259" s="103" t="s">
        <v>1708</v>
      </c>
      <c r="W259" s="68">
        <v>2657</v>
      </c>
    </row>
    <row r="260" spans="1:23" x14ac:dyDescent="0.25">
      <c r="A260" s="40">
        <v>1290010</v>
      </c>
      <c r="B260" s="40" t="s">
        <v>1743</v>
      </c>
      <c r="C260" s="68">
        <v>377</v>
      </c>
      <c r="D260" s="111">
        <v>235</v>
      </c>
      <c r="E260" s="40">
        <v>80000</v>
      </c>
      <c r="K260" s="108">
        <v>0</v>
      </c>
      <c r="L260" s="66">
        <f t="shared" si="8"/>
        <v>640000</v>
      </c>
      <c r="M260" s="153">
        <f>-PMT('Interface - Substantial impacts'!$I$42,'Interface - Substantial impacts'!$I$40,'DW Facility data'!L260)</f>
        <v>49842.297743556883</v>
      </c>
      <c r="N260" s="169">
        <f t="shared" si="9"/>
        <v>45056</v>
      </c>
      <c r="O260" s="85">
        <v>74960</v>
      </c>
      <c r="P260" s="81">
        <v>0</v>
      </c>
      <c r="V260" s="103" t="s">
        <v>1484</v>
      </c>
      <c r="W260" s="68">
        <v>1306</v>
      </c>
    </row>
    <row r="261" spans="1:23" x14ac:dyDescent="0.25">
      <c r="A261" s="40">
        <v>1290012</v>
      </c>
      <c r="B261" s="40" t="s">
        <v>1633</v>
      </c>
      <c r="C261" s="68">
        <v>134</v>
      </c>
      <c r="D261" s="111">
        <v>73</v>
      </c>
      <c r="E261" s="40">
        <v>15000</v>
      </c>
      <c r="K261" s="108">
        <v>0</v>
      </c>
      <c r="L261" s="66">
        <f t="shared" si="8"/>
        <v>120000</v>
      </c>
      <c r="M261" s="153">
        <f>-PMT('Interface - Substantial impacts'!$I$42,'Interface - Substantial impacts'!$I$40,'DW Facility data'!L261)</f>
        <v>9345.4308269169142</v>
      </c>
      <c r="N261" s="169">
        <f t="shared" si="9"/>
        <v>8448</v>
      </c>
      <c r="O261" s="85">
        <v>49295</v>
      </c>
      <c r="P261" s="81">
        <v>46023</v>
      </c>
      <c r="V261" s="103" t="s">
        <v>2018</v>
      </c>
      <c r="W261" s="68">
        <v>22552</v>
      </c>
    </row>
    <row r="262" spans="1:23" x14ac:dyDescent="0.25">
      <c r="A262" s="40">
        <v>1300001</v>
      </c>
      <c r="B262" s="40" t="s">
        <v>1009</v>
      </c>
      <c r="C262" s="68">
        <v>1769</v>
      </c>
      <c r="D262" s="111">
        <v>792</v>
      </c>
      <c r="E262" s="40">
        <v>294000</v>
      </c>
      <c r="K262" s="108">
        <v>0</v>
      </c>
      <c r="L262" s="66">
        <f t="shared" si="8"/>
        <v>2352000</v>
      </c>
      <c r="M262" s="153">
        <f>-PMT('Interface - Substantial impacts'!$I$42,'Interface - Substantial impacts'!$I$40,'DW Facility data'!L262)</f>
        <v>183170.44420757153</v>
      </c>
      <c r="N262" s="169">
        <f t="shared" si="9"/>
        <v>165580.80000000002</v>
      </c>
      <c r="O262" s="85">
        <v>299471</v>
      </c>
      <c r="P262" s="81">
        <v>150297</v>
      </c>
      <c r="V262" s="103" t="s">
        <v>1063</v>
      </c>
      <c r="W262" s="68">
        <v>263</v>
      </c>
    </row>
    <row r="263" spans="1:23" x14ac:dyDescent="0.25">
      <c r="A263" s="40">
        <v>1300002</v>
      </c>
      <c r="B263" s="40" t="s">
        <v>1726</v>
      </c>
      <c r="C263" s="68">
        <v>9611</v>
      </c>
      <c r="D263" s="112">
        <v>3663</v>
      </c>
      <c r="E263" s="40">
        <v>1708454</v>
      </c>
      <c r="K263" s="108">
        <v>0</v>
      </c>
      <c r="L263" s="66">
        <f t="shared" si="8"/>
        <v>13667632</v>
      </c>
      <c r="M263" s="153">
        <f>-PMT('Interface - Substantial impacts'!$I$42,'Interface - Substantial impacts'!$I$40,'DW Facility data'!L263)</f>
        <v>1064415.9118646341</v>
      </c>
      <c r="N263" s="169">
        <f t="shared" si="9"/>
        <v>962201.29280000005</v>
      </c>
      <c r="O263" s="85">
        <v>1533010</v>
      </c>
      <c r="P263" s="81">
        <v>1030950</v>
      </c>
      <c r="V263" s="103" t="s">
        <v>1567</v>
      </c>
      <c r="W263" s="68">
        <v>560</v>
      </c>
    </row>
    <row r="264" spans="1:23" x14ac:dyDescent="0.25">
      <c r="A264" s="40">
        <v>1300005</v>
      </c>
      <c r="B264" s="40" t="s">
        <v>1874</v>
      </c>
      <c r="C264" s="68">
        <v>6804</v>
      </c>
      <c r="D264" s="112">
        <v>2272</v>
      </c>
      <c r="E264" s="40">
        <v>1745000</v>
      </c>
      <c r="K264" s="108">
        <v>0</v>
      </c>
      <c r="L264" s="66">
        <f t="shared" si="8"/>
        <v>13960000</v>
      </c>
      <c r="M264" s="153">
        <f>-PMT('Interface - Substantial impacts'!$I$42,'Interface - Substantial impacts'!$I$40,'DW Facility data'!L264)</f>
        <v>1087185.1195313344</v>
      </c>
      <c r="N264" s="169">
        <f t="shared" si="9"/>
        <v>982784.00000000012</v>
      </c>
      <c r="O264" s="85">
        <v>890770</v>
      </c>
      <c r="P264" s="81">
        <v>515992</v>
      </c>
      <c r="V264" s="103" t="s">
        <v>1065</v>
      </c>
      <c r="W264" s="68">
        <v>1250</v>
      </c>
    </row>
    <row r="265" spans="1:23" x14ac:dyDescent="0.25">
      <c r="A265" s="40">
        <v>1310001</v>
      </c>
      <c r="B265" s="40" t="s">
        <v>1784</v>
      </c>
      <c r="C265" s="68">
        <v>400</v>
      </c>
      <c r="D265" s="111">
        <v>237</v>
      </c>
      <c r="E265" s="40">
        <v>85000</v>
      </c>
      <c r="K265" s="108">
        <v>0</v>
      </c>
      <c r="L265" s="66">
        <f t="shared" si="8"/>
        <v>680000</v>
      </c>
      <c r="M265" s="153">
        <f>-PMT('Interface - Substantial impacts'!$I$42,'Interface - Substantial impacts'!$I$40,'DW Facility data'!L265)</f>
        <v>52957.441352529189</v>
      </c>
      <c r="N265" s="169">
        <f t="shared" si="9"/>
        <v>47872</v>
      </c>
      <c r="O265" s="85">
        <v>136483</v>
      </c>
      <c r="P265" s="81">
        <v>52381</v>
      </c>
      <c r="V265" s="103" t="s">
        <v>1688</v>
      </c>
      <c r="W265" s="68">
        <v>112</v>
      </c>
    </row>
    <row r="266" spans="1:23" x14ac:dyDescent="0.25">
      <c r="A266" s="40">
        <v>1310003</v>
      </c>
      <c r="B266" s="40" t="s">
        <v>1785</v>
      </c>
      <c r="C266" s="68">
        <v>829</v>
      </c>
      <c r="D266" s="111">
        <v>348</v>
      </c>
      <c r="E266" s="40">
        <v>120000</v>
      </c>
      <c r="K266" s="108">
        <v>0</v>
      </c>
      <c r="L266" s="66">
        <f t="shared" si="8"/>
        <v>960000</v>
      </c>
      <c r="M266" s="153">
        <f>-PMT('Interface - Substantial impacts'!$I$42,'Interface - Substantial impacts'!$I$40,'DW Facility data'!L266)</f>
        <v>74763.446615335313</v>
      </c>
      <c r="N266" s="169">
        <f t="shared" si="9"/>
        <v>67584</v>
      </c>
      <c r="O266" s="85">
        <v>45520</v>
      </c>
      <c r="P266" s="81">
        <v>0</v>
      </c>
      <c r="V266" s="103" t="s">
        <v>1471</v>
      </c>
      <c r="W266" s="68">
        <v>529</v>
      </c>
    </row>
    <row r="267" spans="1:23" x14ac:dyDescent="0.25">
      <c r="A267" s="40">
        <v>1310004</v>
      </c>
      <c r="B267" s="40" t="s">
        <v>1544</v>
      </c>
      <c r="C267" s="68">
        <v>334</v>
      </c>
      <c r="D267" s="111">
        <v>196</v>
      </c>
      <c r="E267" s="40">
        <v>60000</v>
      </c>
      <c r="K267" s="108">
        <v>0</v>
      </c>
      <c r="L267" s="66">
        <f t="shared" si="8"/>
        <v>480000</v>
      </c>
      <c r="M267" s="153">
        <f>-PMT('Interface - Substantial impacts'!$I$42,'Interface - Substantial impacts'!$I$40,'DW Facility data'!L267)</f>
        <v>37381.723307667657</v>
      </c>
      <c r="N267" s="169">
        <f t="shared" si="9"/>
        <v>33792</v>
      </c>
      <c r="O267" s="85">
        <v>22641</v>
      </c>
      <c r="P267" s="81">
        <v>0</v>
      </c>
      <c r="V267" s="103" t="s">
        <v>1504</v>
      </c>
      <c r="W267" s="68">
        <v>291</v>
      </c>
    </row>
    <row r="268" spans="1:23" x14ac:dyDescent="0.25">
      <c r="A268" s="40">
        <v>1310006</v>
      </c>
      <c r="B268" s="40" t="s">
        <v>1786</v>
      </c>
      <c r="C268" s="68">
        <v>2006</v>
      </c>
      <c r="D268" s="111">
        <v>826</v>
      </c>
      <c r="E268" s="40">
        <v>325000</v>
      </c>
      <c r="K268" s="108">
        <v>0</v>
      </c>
      <c r="L268" s="66">
        <f t="shared" si="8"/>
        <v>2600000</v>
      </c>
      <c r="M268" s="153">
        <f>-PMT('Interface - Substantial impacts'!$I$42,'Interface - Substantial impacts'!$I$40,'DW Facility data'!L268)</f>
        <v>202484.33458319984</v>
      </c>
      <c r="N268" s="169">
        <f t="shared" si="9"/>
        <v>183040</v>
      </c>
      <c r="O268" s="85">
        <v>486762</v>
      </c>
      <c r="P268" s="81">
        <v>100083</v>
      </c>
      <c r="V268" s="103" t="s">
        <v>1783</v>
      </c>
      <c r="W268" s="68">
        <v>1337</v>
      </c>
    </row>
    <row r="269" spans="1:23" x14ac:dyDescent="0.25">
      <c r="A269" s="40">
        <v>1310007</v>
      </c>
      <c r="B269" s="40" t="s">
        <v>1545</v>
      </c>
      <c r="C269" s="68">
        <v>909</v>
      </c>
      <c r="D269" s="111">
        <v>407</v>
      </c>
      <c r="E269" s="40">
        <v>170000</v>
      </c>
      <c r="K269" s="108">
        <v>0</v>
      </c>
      <c r="L269" s="66">
        <f t="shared" si="8"/>
        <v>1360000</v>
      </c>
      <c r="M269" s="153">
        <f>-PMT('Interface - Substantial impacts'!$I$42,'Interface - Substantial impacts'!$I$40,'DW Facility data'!L269)</f>
        <v>105914.88270505838</v>
      </c>
      <c r="N269" s="169">
        <f t="shared" si="9"/>
        <v>95744</v>
      </c>
      <c r="O269" s="85">
        <v>233395</v>
      </c>
      <c r="P269" s="81">
        <v>175531</v>
      </c>
      <c r="V269" s="103" t="s">
        <v>1745</v>
      </c>
      <c r="W269" s="68">
        <v>1127</v>
      </c>
    </row>
    <row r="270" spans="1:23" x14ac:dyDescent="0.25">
      <c r="A270" s="40">
        <v>1310011</v>
      </c>
      <c r="B270" s="40" t="s">
        <v>1787</v>
      </c>
      <c r="C270" s="68">
        <v>11126</v>
      </c>
      <c r="D270" s="112">
        <v>5279</v>
      </c>
      <c r="E270" s="40">
        <v>1800000</v>
      </c>
      <c r="K270" s="108">
        <v>0</v>
      </c>
      <c r="L270" s="66">
        <f t="shared" si="8"/>
        <v>14400000</v>
      </c>
      <c r="M270" s="153">
        <f>-PMT('Interface - Substantial impacts'!$I$42,'Interface - Substantial impacts'!$I$40,'DW Facility data'!L270)</f>
        <v>1121451.6992300297</v>
      </c>
      <c r="N270" s="169">
        <f t="shared" si="9"/>
        <v>1013760.0000000001</v>
      </c>
      <c r="O270" s="85">
        <v>1625124</v>
      </c>
      <c r="P270" s="81">
        <v>115000</v>
      </c>
      <c r="V270" s="103" t="s">
        <v>1787</v>
      </c>
      <c r="W270" s="68">
        <v>11126</v>
      </c>
    </row>
    <row r="271" spans="1:23" x14ac:dyDescent="0.25">
      <c r="A271" s="40">
        <v>1310021</v>
      </c>
      <c r="B271" s="109" t="s">
        <v>1598</v>
      </c>
      <c r="C271" s="69"/>
      <c r="D271" s="111">
        <v>650</v>
      </c>
      <c r="E271" s="40">
        <v>320000</v>
      </c>
      <c r="K271" s="108">
        <v>0</v>
      </c>
      <c r="L271" s="66">
        <f t="shared" si="8"/>
        <v>2560000</v>
      </c>
      <c r="M271" s="153">
        <f>-PMT('Interface - Substantial impacts'!$I$42,'Interface - Substantial impacts'!$I$40,'DW Facility data'!L271)</f>
        <v>199369.19097422753</v>
      </c>
      <c r="N271" s="169">
        <f t="shared" si="9"/>
        <v>180224</v>
      </c>
      <c r="O271" s="105"/>
      <c r="P271" s="86"/>
      <c r="V271" s="103" t="s">
        <v>1899</v>
      </c>
      <c r="W271" s="68">
        <v>2737</v>
      </c>
    </row>
    <row r="272" spans="1:23" x14ac:dyDescent="0.25">
      <c r="A272" s="40">
        <v>1310023</v>
      </c>
      <c r="B272" s="40" t="s">
        <v>1788</v>
      </c>
      <c r="C272" s="68">
        <v>610</v>
      </c>
      <c r="D272" s="111">
        <v>285</v>
      </c>
      <c r="E272" s="40">
        <v>110000</v>
      </c>
      <c r="K272" s="108">
        <v>0</v>
      </c>
      <c r="L272" s="66">
        <f t="shared" si="8"/>
        <v>880000</v>
      </c>
      <c r="M272" s="153">
        <f>-PMT('Interface - Substantial impacts'!$I$42,'Interface - Substantial impacts'!$I$40,'DW Facility data'!L272)</f>
        <v>68533.159397390715</v>
      </c>
      <c r="N272" s="169">
        <f t="shared" si="9"/>
        <v>61952.000000000007</v>
      </c>
      <c r="O272" s="85">
        <v>15040</v>
      </c>
      <c r="P272" s="81">
        <v>0</v>
      </c>
      <c r="V272" s="103" t="s">
        <v>1749</v>
      </c>
      <c r="W272" s="68">
        <v>591</v>
      </c>
    </row>
    <row r="273" spans="1:23" x14ac:dyDescent="0.25">
      <c r="A273" s="40">
        <v>1310024</v>
      </c>
      <c r="B273" s="40" t="s">
        <v>1773</v>
      </c>
      <c r="C273" s="68">
        <v>970</v>
      </c>
      <c r="D273" s="111">
        <v>609</v>
      </c>
      <c r="E273" s="40">
        <v>200000</v>
      </c>
      <c r="K273" s="108">
        <v>0</v>
      </c>
      <c r="L273" s="66">
        <f t="shared" si="8"/>
        <v>1600000</v>
      </c>
      <c r="M273" s="153">
        <f>-PMT('Interface - Substantial impacts'!$I$42,'Interface - Substantial impacts'!$I$40,'DW Facility data'!L273)</f>
        <v>124605.7443588922</v>
      </c>
      <c r="N273" s="169">
        <f t="shared" si="9"/>
        <v>112640</v>
      </c>
      <c r="O273" s="85">
        <v>194381</v>
      </c>
      <c r="P273" s="81">
        <v>97489</v>
      </c>
      <c r="V273" s="103" t="s">
        <v>1888</v>
      </c>
      <c r="W273" s="68">
        <v>682</v>
      </c>
    </row>
    <row r="274" spans="1:23" x14ac:dyDescent="0.25">
      <c r="A274" s="40">
        <v>1310028</v>
      </c>
      <c r="B274" s="40" t="s">
        <v>1789</v>
      </c>
      <c r="C274" s="68">
        <v>651</v>
      </c>
      <c r="D274" s="111">
        <v>366</v>
      </c>
      <c r="E274" s="40">
        <v>60000</v>
      </c>
      <c r="K274" s="108">
        <v>0</v>
      </c>
      <c r="L274" s="66">
        <f t="shared" si="8"/>
        <v>480000</v>
      </c>
      <c r="M274" s="153">
        <f>-PMT('Interface - Substantial impacts'!$I$42,'Interface - Substantial impacts'!$I$40,'DW Facility data'!L274)</f>
        <v>37381.723307667657</v>
      </c>
      <c r="N274" s="169">
        <f t="shared" si="9"/>
        <v>33792</v>
      </c>
      <c r="O274" s="85">
        <v>53438</v>
      </c>
      <c r="P274" s="81">
        <v>0</v>
      </c>
      <c r="V274" s="103" t="s">
        <v>1131</v>
      </c>
      <c r="W274" s="68">
        <v>2903</v>
      </c>
    </row>
    <row r="275" spans="1:23" x14ac:dyDescent="0.25">
      <c r="A275" s="40">
        <v>1310030</v>
      </c>
      <c r="B275" s="40" t="s">
        <v>1790</v>
      </c>
      <c r="C275" s="68">
        <v>168</v>
      </c>
      <c r="D275" s="111">
        <v>91</v>
      </c>
      <c r="E275" s="40">
        <v>20000</v>
      </c>
      <c r="K275" s="108">
        <v>0</v>
      </c>
      <c r="L275" s="66">
        <f t="shared" si="8"/>
        <v>160000</v>
      </c>
      <c r="M275" s="153">
        <f>-PMT('Interface - Substantial impacts'!$I$42,'Interface - Substantial impacts'!$I$40,'DW Facility data'!L275)</f>
        <v>12460.574435889221</v>
      </c>
      <c r="N275" s="169">
        <f t="shared" si="9"/>
        <v>11264</v>
      </c>
      <c r="O275" s="85">
        <v>37497</v>
      </c>
      <c r="P275" s="81">
        <v>0</v>
      </c>
      <c r="V275" s="103" t="s">
        <v>1559</v>
      </c>
      <c r="W275" s="68">
        <v>330</v>
      </c>
    </row>
    <row r="276" spans="1:23" x14ac:dyDescent="0.25">
      <c r="A276" s="40">
        <v>1310035</v>
      </c>
      <c r="B276" s="40" t="s">
        <v>1791</v>
      </c>
      <c r="C276" s="68">
        <v>2689</v>
      </c>
      <c r="D276" s="112">
        <v>1341</v>
      </c>
      <c r="E276" s="40">
        <v>150000</v>
      </c>
      <c r="K276" s="108">
        <v>0</v>
      </c>
      <c r="L276" s="66">
        <f t="shared" si="8"/>
        <v>1200000</v>
      </c>
      <c r="M276" s="153">
        <f>-PMT('Interface - Substantial impacts'!$I$42,'Interface - Substantial impacts'!$I$40,'DW Facility data'!L276)</f>
        <v>93454.308269169138</v>
      </c>
      <c r="N276" s="169">
        <f t="shared" si="9"/>
        <v>84480</v>
      </c>
      <c r="O276" s="85">
        <v>281341</v>
      </c>
      <c r="P276" s="81">
        <v>0</v>
      </c>
      <c r="V276" s="103" t="s">
        <v>1069</v>
      </c>
      <c r="W276" s="68">
        <v>624</v>
      </c>
    </row>
    <row r="277" spans="1:23" x14ac:dyDescent="0.25">
      <c r="A277" s="40">
        <v>1310038</v>
      </c>
      <c r="B277" s="40" t="s">
        <v>2000</v>
      </c>
      <c r="C277" s="68">
        <v>653</v>
      </c>
      <c r="D277" s="111">
        <v>306</v>
      </c>
      <c r="E277" s="40">
        <v>0</v>
      </c>
      <c r="K277" s="108">
        <v>0</v>
      </c>
      <c r="L277" s="66">
        <f t="shared" si="8"/>
        <v>0</v>
      </c>
      <c r="M277" s="153">
        <f>-PMT('Interface - Substantial impacts'!$I$42,'Interface - Substantial impacts'!$I$40,'DW Facility data'!L277)</f>
        <v>0</v>
      </c>
      <c r="N277" s="169">
        <f t="shared" si="9"/>
        <v>0</v>
      </c>
      <c r="O277" s="85">
        <v>49327</v>
      </c>
      <c r="P277" s="81">
        <v>0</v>
      </c>
      <c r="V277" s="103" t="s">
        <v>1768</v>
      </c>
      <c r="W277" s="68">
        <v>180</v>
      </c>
    </row>
    <row r="278" spans="1:23" x14ac:dyDescent="0.25">
      <c r="A278" s="40">
        <v>1320001</v>
      </c>
      <c r="B278" s="40" t="s">
        <v>1661</v>
      </c>
      <c r="C278" s="68">
        <v>97</v>
      </c>
      <c r="D278" s="111">
        <v>105</v>
      </c>
      <c r="E278" s="40">
        <v>25000</v>
      </c>
      <c r="K278" s="108">
        <v>0</v>
      </c>
      <c r="L278" s="66">
        <f t="shared" si="8"/>
        <v>200000</v>
      </c>
      <c r="M278" s="153">
        <f>-PMT('Interface - Substantial impacts'!$I$42,'Interface - Substantial impacts'!$I$40,'DW Facility data'!L278)</f>
        <v>15575.718044861525</v>
      </c>
      <c r="N278" s="169">
        <f t="shared" si="9"/>
        <v>14080</v>
      </c>
      <c r="O278" s="85">
        <v>67609</v>
      </c>
      <c r="P278" s="81">
        <v>0</v>
      </c>
      <c r="V278" s="103" t="s">
        <v>1912</v>
      </c>
      <c r="W278" s="68">
        <v>294</v>
      </c>
    </row>
    <row r="279" spans="1:23" x14ac:dyDescent="0.25">
      <c r="A279" s="40">
        <v>1320002</v>
      </c>
      <c r="B279" s="40" t="s">
        <v>2001</v>
      </c>
      <c r="C279" s="68">
        <v>602</v>
      </c>
      <c r="D279" s="111">
        <v>349</v>
      </c>
      <c r="E279" s="40">
        <v>110000</v>
      </c>
      <c r="K279" s="108">
        <v>0</v>
      </c>
      <c r="L279" s="66">
        <f t="shared" si="8"/>
        <v>880000</v>
      </c>
      <c r="M279" s="153">
        <f>-PMT('Interface - Substantial impacts'!$I$42,'Interface - Substantial impacts'!$I$40,'DW Facility data'!L279)</f>
        <v>68533.159397390715</v>
      </c>
      <c r="N279" s="169">
        <f t="shared" si="9"/>
        <v>61952.000000000007</v>
      </c>
      <c r="O279" s="85">
        <v>445263</v>
      </c>
      <c r="P279" s="81">
        <v>149480</v>
      </c>
      <c r="V279" s="103" t="s">
        <v>1880</v>
      </c>
      <c r="W279" s="68">
        <v>54</v>
      </c>
    </row>
    <row r="280" spans="1:23" x14ac:dyDescent="0.25">
      <c r="A280" s="40">
        <v>1320003</v>
      </c>
      <c r="B280" s="40" t="s">
        <v>1534</v>
      </c>
      <c r="C280" s="68">
        <v>3323</v>
      </c>
      <c r="D280" s="112">
        <v>1688</v>
      </c>
      <c r="E280" s="40">
        <v>650000</v>
      </c>
      <c r="F280" s="43">
        <v>454440</v>
      </c>
      <c r="K280" s="108">
        <v>454440</v>
      </c>
      <c r="L280" s="66">
        <f t="shared" si="8"/>
        <v>5200000</v>
      </c>
      <c r="M280" s="153">
        <f>-PMT('Interface - Substantial impacts'!$I$42,'Interface - Substantial impacts'!$I$40,'DW Facility data'!L280)</f>
        <v>404968.66916639969</v>
      </c>
      <c r="N280" s="169">
        <f t="shared" si="9"/>
        <v>366080</v>
      </c>
      <c r="O280" s="85">
        <v>617972</v>
      </c>
      <c r="P280" s="81">
        <v>191325</v>
      </c>
      <c r="V280" s="103" t="s">
        <v>2008</v>
      </c>
      <c r="W280" s="68">
        <v>906</v>
      </c>
    </row>
    <row r="281" spans="1:23" x14ac:dyDescent="0.25">
      <c r="A281" s="40">
        <v>1320004</v>
      </c>
      <c r="B281" s="108" t="s">
        <v>1097</v>
      </c>
      <c r="C281" s="68">
        <v>1710</v>
      </c>
      <c r="D281" s="111">
        <v>810</v>
      </c>
      <c r="E281" s="40">
        <v>380000</v>
      </c>
      <c r="K281" s="108">
        <v>0</v>
      </c>
      <c r="L281" s="66">
        <f t="shared" si="8"/>
        <v>3040000</v>
      </c>
      <c r="M281" s="153">
        <f>-PMT('Interface - Substantial impacts'!$I$42,'Interface - Substantial impacts'!$I$40,'DW Facility data'!L281)</f>
        <v>236750.91428189518</v>
      </c>
      <c r="N281" s="169">
        <f t="shared" si="9"/>
        <v>214016</v>
      </c>
      <c r="O281" s="104"/>
      <c r="V281" s="109"/>
      <c r="W281" s="69"/>
    </row>
    <row r="282" spans="1:23" x14ac:dyDescent="0.25">
      <c r="A282" s="40">
        <v>1320005</v>
      </c>
      <c r="B282" s="40" t="s">
        <v>1885</v>
      </c>
      <c r="C282" s="68">
        <v>203</v>
      </c>
      <c r="D282" s="111">
        <v>99</v>
      </c>
      <c r="E282" s="40">
        <v>75000</v>
      </c>
      <c r="K282" s="108">
        <v>0</v>
      </c>
      <c r="L282" s="66">
        <f t="shared" si="8"/>
        <v>600000</v>
      </c>
      <c r="M282" s="153">
        <f>-PMT('Interface - Substantial impacts'!$I$42,'Interface - Substantial impacts'!$I$40,'DW Facility data'!L282)</f>
        <v>46727.154134584569</v>
      </c>
      <c r="N282" s="169">
        <f t="shared" si="9"/>
        <v>42240</v>
      </c>
      <c r="O282" s="85">
        <v>92736</v>
      </c>
      <c r="P282" s="81">
        <v>14225</v>
      </c>
      <c r="V282" s="103" t="s">
        <v>1830</v>
      </c>
      <c r="W282" s="68">
        <v>566</v>
      </c>
    </row>
    <row r="283" spans="1:23" x14ac:dyDescent="0.25">
      <c r="A283" s="40">
        <v>1320006</v>
      </c>
      <c r="B283" s="40" t="s">
        <v>2030</v>
      </c>
      <c r="C283" s="68">
        <v>62</v>
      </c>
      <c r="D283" s="111">
        <v>13</v>
      </c>
      <c r="E283" s="40">
        <v>5000</v>
      </c>
      <c r="K283" s="108">
        <v>0</v>
      </c>
      <c r="L283" s="66">
        <f t="shared" si="8"/>
        <v>40000</v>
      </c>
      <c r="M283" s="153">
        <f>-PMT('Interface - Substantial impacts'!$I$42,'Interface - Substantial impacts'!$I$40,'DW Facility data'!L283)</f>
        <v>3115.1436089723052</v>
      </c>
      <c r="N283" s="169">
        <f t="shared" si="9"/>
        <v>2816</v>
      </c>
      <c r="O283" s="85">
        <v>7519</v>
      </c>
      <c r="P283" s="81">
        <v>5300</v>
      </c>
      <c r="V283" s="103" t="s">
        <v>1555</v>
      </c>
      <c r="W283" s="68">
        <v>130</v>
      </c>
    </row>
    <row r="284" spans="1:23" x14ac:dyDescent="0.25">
      <c r="A284" s="40">
        <v>1330001</v>
      </c>
      <c r="B284" s="40" t="s">
        <v>1639</v>
      </c>
      <c r="C284" s="68">
        <v>3665</v>
      </c>
      <c r="D284" s="112">
        <v>1569</v>
      </c>
      <c r="E284" s="40">
        <v>516000</v>
      </c>
      <c r="K284" s="108">
        <v>0</v>
      </c>
      <c r="L284" s="66">
        <f t="shared" si="8"/>
        <v>4128000</v>
      </c>
      <c r="M284" s="153">
        <f>-PMT('Interface - Substantial impacts'!$I$42,'Interface - Substantial impacts'!$I$40,'DW Facility data'!L284)</f>
        <v>321482.82044594188</v>
      </c>
      <c r="N284" s="169">
        <f t="shared" si="9"/>
        <v>290611.20000000001</v>
      </c>
      <c r="O284" s="85">
        <v>687918</v>
      </c>
      <c r="P284" s="81">
        <v>122007</v>
      </c>
      <c r="V284" s="103" t="s">
        <v>1724</v>
      </c>
      <c r="W284" s="68">
        <v>744</v>
      </c>
    </row>
    <row r="285" spans="1:23" x14ac:dyDescent="0.25">
      <c r="A285" s="40">
        <v>1330004</v>
      </c>
      <c r="B285" s="40" t="s">
        <v>1159</v>
      </c>
      <c r="C285" s="68">
        <v>388</v>
      </c>
      <c r="D285" s="111">
        <v>185</v>
      </c>
      <c r="E285" s="40">
        <v>70000</v>
      </c>
      <c r="K285" s="108">
        <v>0</v>
      </c>
      <c r="L285" s="66">
        <f t="shared" si="8"/>
        <v>560000</v>
      </c>
      <c r="M285" s="153">
        <f>-PMT('Interface - Substantial impacts'!$I$42,'Interface - Substantial impacts'!$I$40,'DW Facility data'!L285)</f>
        <v>43612.01052561227</v>
      </c>
      <c r="N285" s="169">
        <f t="shared" si="9"/>
        <v>39424</v>
      </c>
      <c r="O285" s="85">
        <v>119571</v>
      </c>
      <c r="P285" s="81">
        <v>39500</v>
      </c>
      <c r="V285" s="103" t="s">
        <v>1500</v>
      </c>
      <c r="W285" s="68">
        <v>863</v>
      </c>
    </row>
    <row r="286" spans="1:23" x14ac:dyDescent="0.25">
      <c r="A286" s="40">
        <v>1340001</v>
      </c>
      <c r="B286" s="40" t="s">
        <v>1707</v>
      </c>
      <c r="C286" s="68">
        <v>1124</v>
      </c>
      <c r="D286" s="111">
        <v>436</v>
      </c>
      <c r="E286" s="40">
        <v>140000</v>
      </c>
      <c r="K286" s="108">
        <v>0</v>
      </c>
      <c r="L286" s="66">
        <f t="shared" si="8"/>
        <v>1120000</v>
      </c>
      <c r="M286" s="153">
        <f>-PMT('Interface - Substantial impacts'!$I$42,'Interface - Substantial impacts'!$I$40,'DW Facility data'!L286)</f>
        <v>87224.021051224539</v>
      </c>
      <c r="N286" s="169">
        <f t="shared" si="9"/>
        <v>78848</v>
      </c>
      <c r="O286" s="85">
        <v>105881</v>
      </c>
      <c r="P286" s="81">
        <v>106569</v>
      </c>
      <c r="V286" s="103" t="s">
        <v>1533</v>
      </c>
      <c r="W286" s="68">
        <v>243</v>
      </c>
    </row>
    <row r="287" spans="1:23" x14ac:dyDescent="0.25">
      <c r="A287" s="40">
        <v>1340002</v>
      </c>
      <c r="B287" s="40" t="s">
        <v>1901</v>
      </c>
      <c r="C287" s="68">
        <v>145</v>
      </c>
      <c r="D287" s="111">
        <v>112</v>
      </c>
      <c r="E287" s="40">
        <v>20000</v>
      </c>
      <c r="K287" s="108">
        <v>0</v>
      </c>
      <c r="L287" s="66">
        <f t="shared" si="8"/>
        <v>160000</v>
      </c>
      <c r="M287" s="153">
        <f>-PMT('Interface - Substantial impacts'!$I$42,'Interface - Substantial impacts'!$I$40,'DW Facility data'!L287)</f>
        <v>12460.574435889221</v>
      </c>
      <c r="N287" s="169">
        <f t="shared" si="9"/>
        <v>11264</v>
      </c>
      <c r="O287" s="85">
        <v>16473</v>
      </c>
      <c r="P287" s="81">
        <v>0</v>
      </c>
      <c r="V287" s="103" t="s">
        <v>1588</v>
      </c>
      <c r="W287" s="68">
        <v>382</v>
      </c>
    </row>
    <row r="288" spans="1:23" x14ac:dyDescent="0.25">
      <c r="A288" s="40">
        <v>1340003</v>
      </c>
      <c r="B288" s="40" t="s">
        <v>1746</v>
      </c>
      <c r="C288" s="68">
        <v>569</v>
      </c>
      <c r="D288" s="111">
        <v>195</v>
      </c>
      <c r="E288" s="40">
        <v>72000</v>
      </c>
      <c r="F288" s="43">
        <v>2350000</v>
      </c>
      <c r="K288" s="108">
        <v>2350000</v>
      </c>
      <c r="L288" s="66">
        <f t="shared" si="8"/>
        <v>576000</v>
      </c>
      <c r="M288" s="153">
        <f>-PMT('Interface - Substantial impacts'!$I$42,'Interface - Substantial impacts'!$I$40,'DW Facility data'!L288)</f>
        <v>44858.067969201191</v>
      </c>
      <c r="N288" s="169">
        <f t="shared" si="9"/>
        <v>40550.400000000001</v>
      </c>
      <c r="O288" s="85">
        <v>159261</v>
      </c>
      <c r="P288" s="81">
        <v>80662</v>
      </c>
      <c r="V288" s="103" t="s">
        <v>1980</v>
      </c>
      <c r="W288" s="68">
        <v>189</v>
      </c>
    </row>
    <row r="289" spans="1:23" x14ac:dyDescent="0.25">
      <c r="A289" s="40">
        <v>1340004</v>
      </c>
      <c r="B289" s="40" t="s">
        <v>1852</v>
      </c>
      <c r="C289" s="68">
        <v>246</v>
      </c>
      <c r="D289" s="111">
        <v>120</v>
      </c>
      <c r="E289" s="40">
        <v>63000</v>
      </c>
      <c r="K289" s="108">
        <v>0</v>
      </c>
      <c r="L289" s="66">
        <f t="shared" si="8"/>
        <v>504000</v>
      </c>
      <c r="M289" s="153">
        <f>-PMT('Interface - Substantial impacts'!$I$42,'Interface - Substantial impacts'!$I$40,'DW Facility data'!L289)</f>
        <v>39250.809473051042</v>
      </c>
      <c r="N289" s="169">
        <f t="shared" si="9"/>
        <v>35481.599999999999</v>
      </c>
      <c r="O289" s="85">
        <v>69656</v>
      </c>
      <c r="P289" s="81">
        <v>34253</v>
      </c>
      <c r="V289" s="103" t="s">
        <v>1071</v>
      </c>
      <c r="W289" s="68">
        <v>1043</v>
      </c>
    </row>
    <row r="290" spans="1:23" x14ac:dyDescent="0.25">
      <c r="A290" s="40">
        <v>1340005</v>
      </c>
      <c r="B290" s="40" t="s">
        <v>1970</v>
      </c>
      <c r="C290" s="68">
        <v>1252</v>
      </c>
      <c r="D290" s="111">
        <v>556</v>
      </c>
      <c r="E290" s="40">
        <v>394000</v>
      </c>
      <c r="K290" s="108">
        <v>0</v>
      </c>
      <c r="L290" s="66">
        <f t="shared" si="8"/>
        <v>3152000</v>
      </c>
      <c r="M290" s="153">
        <f>-PMT('Interface - Substantial impacts'!$I$42,'Interface - Substantial impacts'!$I$40,'DW Facility data'!L290)</f>
        <v>245473.31638701761</v>
      </c>
      <c r="N290" s="169">
        <f t="shared" si="9"/>
        <v>221900.80000000002</v>
      </c>
      <c r="O290" s="85">
        <v>351698</v>
      </c>
      <c r="P290" s="81">
        <v>140833</v>
      </c>
      <c r="V290" s="103" t="s">
        <v>1860</v>
      </c>
      <c r="W290" s="68">
        <v>1111</v>
      </c>
    </row>
    <row r="291" spans="1:23" x14ac:dyDescent="0.25">
      <c r="A291" s="40">
        <v>1340006</v>
      </c>
      <c r="B291" s="40" t="s">
        <v>1849</v>
      </c>
      <c r="C291" s="68">
        <v>479</v>
      </c>
      <c r="D291" s="111">
        <v>191</v>
      </c>
      <c r="E291" s="40">
        <v>50000</v>
      </c>
      <c r="K291" s="108">
        <v>0</v>
      </c>
      <c r="L291" s="66">
        <f t="shared" si="8"/>
        <v>400000</v>
      </c>
      <c r="M291" s="153">
        <f>-PMT('Interface - Substantial impacts'!$I$42,'Interface - Substantial impacts'!$I$40,'DW Facility data'!L291)</f>
        <v>31151.436089723051</v>
      </c>
      <c r="N291" s="169">
        <f t="shared" si="9"/>
        <v>28160</v>
      </c>
      <c r="O291" s="85">
        <v>38862</v>
      </c>
      <c r="P291" s="81">
        <v>39333</v>
      </c>
      <c r="V291" s="103" t="s">
        <v>1878</v>
      </c>
      <c r="W291" s="68">
        <v>321</v>
      </c>
    </row>
    <row r="292" spans="1:23" ht="15.75" customHeight="1" x14ac:dyDescent="0.25">
      <c r="A292" s="40">
        <v>1340007</v>
      </c>
      <c r="B292" s="40" t="s">
        <v>1184</v>
      </c>
      <c r="C292" s="68">
        <v>520</v>
      </c>
      <c r="D292" s="111">
        <v>233</v>
      </c>
      <c r="E292" s="40">
        <v>36000</v>
      </c>
      <c r="K292" s="108">
        <v>0</v>
      </c>
      <c r="L292" s="66">
        <f t="shared" si="8"/>
        <v>288000</v>
      </c>
      <c r="M292" s="153">
        <f>-PMT('Interface - Substantial impacts'!$I$42,'Interface - Substantial impacts'!$I$40,'DW Facility data'!L292)</f>
        <v>22429.033984600595</v>
      </c>
      <c r="N292" s="169">
        <f t="shared" si="9"/>
        <v>20275.2</v>
      </c>
      <c r="O292" s="85">
        <v>61261</v>
      </c>
      <c r="P292" s="81">
        <v>6094</v>
      </c>
      <c r="V292" s="103" t="s">
        <v>1680</v>
      </c>
      <c r="W292" s="68">
        <v>22154</v>
      </c>
    </row>
    <row r="293" spans="1:23" x14ac:dyDescent="0.25">
      <c r="A293" s="40">
        <v>1340008</v>
      </c>
      <c r="B293" s="40" t="s">
        <v>1806</v>
      </c>
      <c r="C293" s="68">
        <v>782</v>
      </c>
      <c r="D293" s="111">
        <v>366</v>
      </c>
      <c r="E293" s="40">
        <v>110000</v>
      </c>
      <c r="K293" s="108">
        <v>0</v>
      </c>
      <c r="L293" s="66">
        <f t="shared" si="8"/>
        <v>880000</v>
      </c>
      <c r="M293" s="153">
        <f>-PMT('Interface - Substantial impacts'!$I$42,'Interface - Substantial impacts'!$I$40,'DW Facility data'!L293)</f>
        <v>68533.159397390715</v>
      </c>
      <c r="N293" s="169">
        <f t="shared" si="9"/>
        <v>61952.000000000007</v>
      </c>
      <c r="O293" s="85">
        <v>78985</v>
      </c>
      <c r="P293" s="81">
        <v>59583</v>
      </c>
      <c r="V293" s="103" t="s">
        <v>2200</v>
      </c>
      <c r="W293" s="68">
        <v>53</v>
      </c>
    </row>
    <row r="294" spans="1:23" x14ac:dyDescent="0.25">
      <c r="A294" s="40">
        <v>1340010</v>
      </c>
      <c r="B294" s="40" t="s">
        <v>2009</v>
      </c>
      <c r="C294" s="68">
        <v>1112</v>
      </c>
      <c r="D294" s="111">
        <v>717</v>
      </c>
      <c r="E294" s="40">
        <v>225000</v>
      </c>
      <c r="K294" s="108">
        <v>0</v>
      </c>
      <c r="L294" s="66">
        <f t="shared" si="8"/>
        <v>1800000</v>
      </c>
      <c r="M294" s="153">
        <f>-PMT('Interface - Substantial impacts'!$I$42,'Interface - Substantial impacts'!$I$40,'DW Facility data'!L294)</f>
        <v>140181.46240375371</v>
      </c>
      <c r="N294" s="169">
        <f t="shared" si="9"/>
        <v>126720.00000000001</v>
      </c>
      <c r="O294" s="85">
        <v>434360</v>
      </c>
      <c r="P294" s="81">
        <v>21044</v>
      </c>
      <c r="V294" s="103" t="s">
        <v>1073</v>
      </c>
      <c r="W294" s="68">
        <v>2219</v>
      </c>
    </row>
    <row r="295" spans="1:23" x14ac:dyDescent="0.25">
      <c r="A295" s="40">
        <v>1340016</v>
      </c>
      <c r="B295" s="40" t="s">
        <v>1254</v>
      </c>
      <c r="C295" s="68">
        <v>21015</v>
      </c>
      <c r="D295" s="112">
        <v>8084</v>
      </c>
      <c r="E295" s="40">
        <v>6200000</v>
      </c>
      <c r="F295" s="43">
        <v>8504097</v>
      </c>
      <c r="K295" s="108">
        <v>8504097</v>
      </c>
      <c r="L295" s="66">
        <f t="shared" si="8"/>
        <v>49600000</v>
      </c>
      <c r="M295" s="153">
        <f>-PMT('Interface - Substantial impacts'!$I$42,'Interface - Substantial impacts'!$I$40,'DW Facility data'!L295)</f>
        <v>3862778.075125658</v>
      </c>
      <c r="N295" s="169">
        <f t="shared" si="9"/>
        <v>3491840</v>
      </c>
      <c r="O295" s="85">
        <v>1553689</v>
      </c>
      <c r="P295" s="81">
        <v>0</v>
      </c>
      <c r="V295" s="103" t="s">
        <v>1075</v>
      </c>
      <c r="W295" s="68">
        <v>1364</v>
      </c>
    </row>
    <row r="296" spans="1:23" x14ac:dyDescent="0.25">
      <c r="A296" s="40">
        <v>1340021</v>
      </c>
      <c r="B296" s="109" t="s">
        <v>1607</v>
      </c>
      <c r="C296" s="68"/>
      <c r="D296" s="113"/>
      <c r="E296" s="40">
        <v>694000</v>
      </c>
      <c r="K296" s="108">
        <v>0</v>
      </c>
      <c r="L296" s="66">
        <f t="shared" si="8"/>
        <v>5552000</v>
      </c>
      <c r="M296" s="153">
        <f>-PMT('Interface - Substantial impacts'!$I$42,'Interface - Substantial impacts'!$I$40,'DW Facility data'!L296)</f>
        <v>432381.93292535591</v>
      </c>
      <c r="N296" s="169">
        <f t="shared" si="9"/>
        <v>390860.80000000005</v>
      </c>
      <c r="O296" s="105"/>
      <c r="P296" s="86"/>
      <c r="V296" s="103" t="s">
        <v>1736</v>
      </c>
      <c r="W296" s="68">
        <v>252</v>
      </c>
    </row>
    <row r="297" spans="1:23" x14ac:dyDescent="0.25">
      <c r="A297" s="40">
        <v>1350001</v>
      </c>
      <c r="B297" s="40" t="s">
        <v>2008</v>
      </c>
      <c r="C297" s="68">
        <v>906</v>
      </c>
      <c r="D297" s="111">
        <v>503</v>
      </c>
      <c r="E297" s="40">
        <v>175000</v>
      </c>
      <c r="K297" s="108">
        <v>0</v>
      </c>
      <c r="L297" s="66">
        <f t="shared" si="8"/>
        <v>1400000</v>
      </c>
      <c r="M297" s="153">
        <f>-PMT('Interface - Substantial impacts'!$I$42,'Interface - Substantial impacts'!$I$40,'DW Facility data'!L297)</f>
        <v>109030.02631403068</v>
      </c>
      <c r="N297" s="169">
        <f t="shared" si="9"/>
        <v>98560</v>
      </c>
      <c r="O297" s="85">
        <v>214439</v>
      </c>
      <c r="P297" s="81">
        <v>48306</v>
      </c>
      <c r="V297" s="103" t="s">
        <v>1999</v>
      </c>
      <c r="W297" s="68">
        <v>55</v>
      </c>
    </row>
    <row r="298" spans="1:23" x14ac:dyDescent="0.25">
      <c r="A298" s="40">
        <v>1350002</v>
      </c>
      <c r="B298" s="40" t="s">
        <v>1648</v>
      </c>
      <c r="C298" s="68">
        <v>710</v>
      </c>
      <c r="D298" s="111">
        <v>477</v>
      </c>
      <c r="E298" s="40">
        <v>120000</v>
      </c>
      <c r="K298" s="108">
        <v>0</v>
      </c>
      <c r="L298" s="66">
        <f t="shared" si="8"/>
        <v>960000</v>
      </c>
      <c r="M298" s="153">
        <f>-PMT('Interface - Substantial impacts'!$I$42,'Interface - Substantial impacts'!$I$40,'DW Facility data'!L298)</f>
        <v>74763.446615335313</v>
      </c>
      <c r="N298" s="169">
        <f t="shared" si="9"/>
        <v>67584</v>
      </c>
      <c r="O298" s="85">
        <v>101804</v>
      </c>
      <c r="P298" s="81">
        <v>103490</v>
      </c>
      <c r="V298" s="103" t="s">
        <v>1077</v>
      </c>
      <c r="W298" s="68">
        <v>1012</v>
      </c>
    </row>
    <row r="299" spans="1:23" x14ac:dyDescent="0.25">
      <c r="A299" s="40">
        <v>1350003</v>
      </c>
      <c r="B299" s="40" t="s">
        <v>1964</v>
      </c>
      <c r="C299" s="68">
        <v>176</v>
      </c>
      <c r="D299" s="111">
        <v>126</v>
      </c>
      <c r="E299" s="40">
        <v>20000</v>
      </c>
      <c r="K299" s="108">
        <v>0</v>
      </c>
      <c r="L299" s="66">
        <f t="shared" si="8"/>
        <v>160000</v>
      </c>
      <c r="M299" s="153">
        <f>-PMT('Interface - Substantial impacts'!$I$42,'Interface - Substantial impacts'!$I$40,'DW Facility data'!L299)</f>
        <v>12460.574435889221</v>
      </c>
      <c r="N299" s="169">
        <f t="shared" si="9"/>
        <v>11264</v>
      </c>
      <c r="O299" s="85">
        <v>49402</v>
      </c>
      <c r="P299" s="81">
        <v>10808</v>
      </c>
      <c r="V299" s="103" t="s">
        <v>1782</v>
      </c>
      <c r="W299" s="68">
        <v>960</v>
      </c>
    </row>
    <row r="300" spans="1:23" x14ac:dyDescent="0.25">
      <c r="A300" s="40">
        <v>1350004</v>
      </c>
      <c r="B300" s="40" t="s">
        <v>1991</v>
      </c>
      <c r="C300" s="68">
        <v>178</v>
      </c>
      <c r="D300" s="111">
        <v>173</v>
      </c>
      <c r="E300" s="40">
        <v>30000</v>
      </c>
      <c r="K300" s="108">
        <v>0</v>
      </c>
      <c r="L300" s="66">
        <f t="shared" si="8"/>
        <v>240000</v>
      </c>
      <c r="M300" s="153">
        <f>-PMT('Interface - Substantial impacts'!$I$42,'Interface - Substantial impacts'!$I$40,'DW Facility data'!L300)</f>
        <v>18690.861653833828</v>
      </c>
      <c r="N300" s="169">
        <f t="shared" si="9"/>
        <v>16896</v>
      </c>
      <c r="O300" s="85">
        <v>42079</v>
      </c>
      <c r="P300" s="81">
        <v>0</v>
      </c>
      <c r="V300" s="103" t="s">
        <v>1990</v>
      </c>
      <c r="W300" s="68">
        <v>616</v>
      </c>
    </row>
    <row r="301" spans="1:23" x14ac:dyDescent="0.25">
      <c r="A301" s="40">
        <v>1350005</v>
      </c>
      <c r="B301" s="40" t="s">
        <v>1946</v>
      </c>
      <c r="C301" s="68">
        <v>364</v>
      </c>
      <c r="D301" s="111">
        <v>213</v>
      </c>
      <c r="E301" s="40">
        <v>50000</v>
      </c>
      <c r="K301" s="108">
        <v>0</v>
      </c>
      <c r="L301" s="66">
        <f t="shared" si="8"/>
        <v>400000</v>
      </c>
      <c r="M301" s="153">
        <f>-PMT('Interface - Substantial impacts'!$I$42,'Interface - Substantial impacts'!$I$40,'DW Facility data'!L301)</f>
        <v>31151.436089723051</v>
      </c>
      <c r="N301" s="169">
        <f t="shared" si="9"/>
        <v>28160</v>
      </c>
      <c r="O301" s="85">
        <v>75329</v>
      </c>
      <c r="P301" s="81">
        <v>0</v>
      </c>
      <c r="V301" s="103" t="s">
        <v>1493</v>
      </c>
      <c r="W301" s="68">
        <v>289</v>
      </c>
    </row>
    <row r="302" spans="1:23" x14ac:dyDescent="0.25">
      <c r="A302" s="40">
        <v>1350006</v>
      </c>
      <c r="B302" s="109" t="s">
        <v>1762</v>
      </c>
      <c r="C302" s="69"/>
      <c r="D302" s="109"/>
      <c r="E302" s="40">
        <v>1175000</v>
      </c>
      <c r="K302" s="108">
        <v>0</v>
      </c>
      <c r="L302" s="66">
        <f t="shared" si="8"/>
        <v>9400000</v>
      </c>
      <c r="M302" s="153">
        <f>-PMT('Interface - Substantial impacts'!$I$42,'Interface - Substantial impacts'!$I$40,'DW Facility data'!L302)</f>
        <v>732058.74810849165</v>
      </c>
      <c r="N302" s="169">
        <f t="shared" si="9"/>
        <v>661760</v>
      </c>
      <c r="O302" s="105"/>
      <c r="P302" s="86"/>
      <c r="V302" s="103" t="s">
        <v>1683</v>
      </c>
      <c r="W302" s="68">
        <v>854</v>
      </c>
    </row>
    <row r="303" spans="1:23" x14ac:dyDescent="0.25">
      <c r="A303" s="40">
        <v>1360001</v>
      </c>
      <c r="B303" s="40" t="s">
        <v>1763</v>
      </c>
      <c r="C303" s="68">
        <v>175</v>
      </c>
      <c r="D303" s="111">
        <v>192</v>
      </c>
      <c r="E303" s="40">
        <v>45000</v>
      </c>
      <c r="K303" s="108">
        <v>0</v>
      </c>
      <c r="L303" s="66">
        <f t="shared" si="8"/>
        <v>360000</v>
      </c>
      <c r="M303" s="153">
        <f>-PMT('Interface - Substantial impacts'!$I$42,'Interface - Substantial impacts'!$I$40,'DW Facility data'!L303)</f>
        <v>28036.292480750744</v>
      </c>
      <c r="N303" s="169">
        <f t="shared" si="9"/>
        <v>25344</v>
      </c>
      <c r="O303" s="85">
        <v>92809</v>
      </c>
      <c r="P303" s="81">
        <v>14854</v>
      </c>
      <c r="V303" s="103" t="s">
        <v>1904</v>
      </c>
      <c r="W303" s="68">
        <v>384</v>
      </c>
    </row>
    <row r="304" spans="1:23" x14ac:dyDescent="0.25">
      <c r="A304" s="40">
        <v>1360002</v>
      </c>
      <c r="B304" s="40" t="s">
        <v>1703</v>
      </c>
      <c r="C304" s="68">
        <v>5802</v>
      </c>
      <c r="D304" s="112">
        <v>3156</v>
      </c>
      <c r="E304" s="40">
        <v>900000</v>
      </c>
      <c r="K304" s="108">
        <v>0</v>
      </c>
      <c r="L304" s="66">
        <f t="shared" si="8"/>
        <v>7200000</v>
      </c>
      <c r="M304" s="153">
        <f>-PMT('Interface - Substantial impacts'!$I$42,'Interface - Substantial impacts'!$I$40,'DW Facility data'!L304)</f>
        <v>560725.84961501486</v>
      </c>
      <c r="N304" s="169">
        <f t="shared" si="9"/>
        <v>506880.00000000006</v>
      </c>
      <c r="O304" s="85">
        <v>1501848</v>
      </c>
      <c r="P304" s="81">
        <v>0</v>
      </c>
      <c r="V304" s="103" t="s">
        <v>1992</v>
      </c>
      <c r="W304" s="68">
        <v>10221</v>
      </c>
    </row>
    <row r="305" spans="1:23" x14ac:dyDescent="0.25">
      <c r="A305" s="40">
        <v>1360004</v>
      </c>
      <c r="B305" s="40" t="s">
        <v>1107</v>
      </c>
      <c r="C305" s="68">
        <v>553</v>
      </c>
      <c r="D305" s="111">
        <v>342</v>
      </c>
      <c r="E305" s="40">
        <v>90000</v>
      </c>
      <c r="K305" s="108">
        <v>0</v>
      </c>
      <c r="L305" s="66">
        <f t="shared" si="8"/>
        <v>720000</v>
      </c>
      <c r="M305" s="153">
        <f>-PMT('Interface - Substantial impacts'!$I$42,'Interface - Substantial impacts'!$I$40,'DW Facility data'!L305)</f>
        <v>56072.584961501489</v>
      </c>
      <c r="N305" s="169">
        <f t="shared" si="9"/>
        <v>50688</v>
      </c>
      <c r="O305" s="85">
        <v>192072</v>
      </c>
      <c r="P305" s="81">
        <v>64305</v>
      </c>
      <c r="V305" s="103" t="s">
        <v>2001</v>
      </c>
      <c r="W305" s="68">
        <v>602</v>
      </c>
    </row>
    <row r="306" spans="1:23" x14ac:dyDescent="0.25">
      <c r="A306" s="40">
        <v>1360005</v>
      </c>
      <c r="B306" s="40" t="s">
        <v>1764</v>
      </c>
      <c r="C306" s="68">
        <v>155</v>
      </c>
      <c r="D306" s="111">
        <v>140</v>
      </c>
      <c r="E306" s="40">
        <v>30000</v>
      </c>
      <c r="K306" s="108">
        <v>0</v>
      </c>
      <c r="L306" s="66">
        <f t="shared" si="8"/>
        <v>240000</v>
      </c>
      <c r="M306" s="153">
        <f>-PMT('Interface - Substantial impacts'!$I$42,'Interface - Substantial impacts'!$I$40,'DW Facility data'!L306)</f>
        <v>18690.861653833828</v>
      </c>
      <c r="N306" s="169">
        <f t="shared" si="9"/>
        <v>16896</v>
      </c>
      <c r="O306" s="85">
        <v>71369</v>
      </c>
      <c r="P306" s="81">
        <v>14922</v>
      </c>
      <c r="V306" s="103" t="s">
        <v>1560</v>
      </c>
      <c r="W306" s="68">
        <v>251</v>
      </c>
    </row>
    <row r="307" spans="1:23" x14ac:dyDescent="0.25">
      <c r="A307" s="40">
        <v>1360006</v>
      </c>
      <c r="B307" s="40" t="s">
        <v>1937</v>
      </c>
      <c r="C307" s="68">
        <v>569</v>
      </c>
      <c r="D307" s="111">
        <v>351</v>
      </c>
      <c r="E307" s="40">
        <v>65000</v>
      </c>
      <c r="K307" s="108">
        <v>0</v>
      </c>
      <c r="L307" s="66">
        <f t="shared" si="8"/>
        <v>520000</v>
      </c>
      <c r="M307" s="153">
        <f>-PMT('Interface - Substantial impacts'!$I$42,'Interface - Substantial impacts'!$I$40,'DW Facility data'!L307)</f>
        <v>40496.866916639963</v>
      </c>
      <c r="N307" s="169">
        <f t="shared" si="9"/>
        <v>36608</v>
      </c>
      <c r="O307" s="85">
        <v>362846</v>
      </c>
      <c r="P307" s="81">
        <v>54270</v>
      </c>
      <c r="V307" s="103" t="s">
        <v>1079</v>
      </c>
      <c r="W307" s="68">
        <v>16214</v>
      </c>
    </row>
    <row r="308" spans="1:23" x14ac:dyDescent="0.25">
      <c r="A308" s="40">
        <v>1370001</v>
      </c>
      <c r="B308" s="40" t="s">
        <v>1513</v>
      </c>
      <c r="C308" s="68">
        <v>148</v>
      </c>
      <c r="D308" s="111">
        <v>136</v>
      </c>
      <c r="E308" s="40">
        <v>60000</v>
      </c>
      <c r="F308" s="43">
        <v>1916500</v>
      </c>
      <c r="K308" s="108">
        <v>1916500</v>
      </c>
      <c r="L308" s="66">
        <f t="shared" si="8"/>
        <v>480000</v>
      </c>
      <c r="M308" s="153">
        <f>-PMT('Interface - Substantial impacts'!$I$42,'Interface - Substantial impacts'!$I$40,'DW Facility data'!L308)</f>
        <v>37381.723307667657</v>
      </c>
      <c r="N308" s="169">
        <f t="shared" si="9"/>
        <v>33792</v>
      </c>
      <c r="O308" s="85">
        <v>32017</v>
      </c>
      <c r="P308" s="81">
        <v>0</v>
      </c>
      <c r="V308" s="103" t="s">
        <v>1628</v>
      </c>
      <c r="W308" s="68">
        <v>613</v>
      </c>
    </row>
    <row r="309" spans="1:23" x14ac:dyDescent="0.25">
      <c r="A309" s="40">
        <v>1370002</v>
      </c>
      <c r="B309" s="40" t="s">
        <v>2015</v>
      </c>
      <c r="C309" s="68">
        <v>141</v>
      </c>
      <c r="D309" s="111">
        <v>110</v>
      </c>
      <c r="E309" s="40">
        <v>73000</v>
      </c>
      <c r="K309" s="108">
        <v>0</v>
      </c>
      <c r="L309" s="66">
        <f t="shared" si="8"/>
        <v>584000</v>
      </c>
      <c r="M309" s="153">
        <f>-PMT('Interface - Substantial impacts'!$I$42,'Interface - Substantial impacts'!$I$40,'DW Facility data'!L309)</f>
        <v>45481.096690995648</v>
      </c>
      <c r="N309" s="169">
        <f t="shared" si="9"/>
        <v>41113.600000000006</v>
      </c>
      <c r="O309" s="85">
        <v>61886</v>
      </c>
      <c r="P309" s="81">
        <v>43238</v>
      </c>
      <c r="V309" s="103" t="s">
        <v>1947</v>
      </c>
      <c r="W309" s="68">
        <v>686</v>
      </c>
    </row>
    <row r="310" spans="1:23" x14ac:dyDescent="0.25">
      <c r="A310" s="40">
        <v>1370003</v>
      </c>
      <c r="B310" s="40" t="s">
        <v>1029</v>
      </c>
      <c r="C310" s="68">
        <v>1466</v>
      </c>
      <c r="D310" s="111">
        <v>754</v>
      </c>
      <c r="E310" s="40">
        <v>500000</v>
      </c>
      <c r="F310" s="43">
        <v>752900</v>
      </c>
      <c r="K310" s="108">
        <v>752900</v>
      </c>
      <c r="L310" s="66">
        <f t="shared" si="8"/>
        <v>4000000</v>
      </c>
      <c r="M310" s="153">
        <f>-PMT('Interface - Substantial impacts'!$I$42,'Interface - Substantial impacts'!$I$40,'DW Facility data'!L310)</f>
        <v>311514.36089723051</v>
      </c>
      <c r="N310" s="169">
        <f t="shared" si="9"/>
        <v>281600</v>
      </c>
      <c r="O310" s="85">
        <v>308094</v>
      </c>
      <c r="P310" s="81">
        <v>231758</v>
      </c>
      <c r="V310" s="103" t="s">
        <v>1949</v>
      </c>
      <c r="W310" s="68">
        <v>958</v>
      </c>
    </row>
    <row r="311" spans="1:23" x14ac:dyDescent="0.25">
      <c r="A311" s="40">
        <v>1370004</v>
      </c>
      <c r="B311" s="40" t="s">
        <v>1121</v>
      </c>
      <c r="C311" s="68">
        <v>1518</v>
      </c>
      <c r="D311" s="112">
        <v>1032</v>
      </c>
      <c r="E311" s="40">
        <v>360000</v>
      </c>
      <c r="K311" s="108">
        <v>0</v>
      </c>
      <c r="L311" s="66">
        <f t="shared" si="8"/>
        <v>2880000</v>
      </c>
      <c r="M311" s="153">
        <f>-PMT('Interface - Substantial impacts'!$I$42,'Interface - Substantial impacts'!$I$40,'DW Facility data'!L311)</f>
        <v>224290.33984600595</v>
      </c>
      <c r="N311" s="169">
        <f t="shared" si="9"/>
        <v>202752</v>
      </c>
      <c r="O311" s="85">
        <v>460291</v>
      </c>
      <c r="P311" s="81">
        <v>0</v>
      </c>
      <c r="V311" s="103" t="s">
        <v>1592</v>
      </c>
      <c r="W311" s="68">
        <v>1904</v>
      </c>
    </row>
    <row r="312" spans="1:23" x14ac:dyDescent="0.25">
      <c r="A312" s="40">
        <v>1370005</v>
      </c>
      <c r="B312" s="109" t="s">
        <v>1988</v>
      </c>
      <c r="C312" s="69"/>
      <c r="D312" s="111">
        <v>108</v>
      </c>
      <c r="E312" s="40">
        <v>45000</v>
      </c>
      <c r="K312" s="108">
        <v>0</v>
      </c>
      <c r="L312" s="66">
        <f t="shared" si="8"/>
        <v>360000</v>
      </c>
      <c r="M312" s="153">
        <f>-PMT('Interface - Substantial impacts'!$I$42,'Interface - Substantial impacts'!$I$40,'DW Facility data'!L312)</f>
        <v>28036.292480750744</v>
      </c>
      <c r="N312" s="169">
        <f t="shared" si="9"/>
        <v>25344</v>
      </c>
      <c r="O312" s="105"/>
      <c r="P312" s="86"/>
      <c r="V312" s="103" t="s">
        <v>1624</v>
      </c>
      <c r="W312" s="68">
        <v>199</v>
      </c>
    </row>
    <row r="313" spans="1:23" x14ac:dyDescent="0.25">
      <c r="A313" s="40">
        <v>1370006</v>
      </c>
      <c r="B313" s="109" t="s">
        <v>1960</v>
      </c>
      <c r="C313" s="69"/>
      <c r="D313" s="111">
        <v>49</v>
      </c>
      <c r="E313" s="40">
        <v>12000</v>
      </c>
      <c r="K313" s="108">
        <v>0</v>
      </c>
      <c r="L313" s="66">
        <f t="shared" si="8"/>
        <v>96000</v>
      </c>
      <c r="M313" s="153">
        <f>-PMT('Interface - Substantial impacts'!$I$42,'Interface - Substantial impacts'!$I$40,'DW Facility data'!L313)</f>
        <v>7476.3446615335315</v>
      </c>
      <c r="N313" s="169">
        <f t="shared" si="9"/>
        <v>6758.4000000000005</v>
      </c>
      <c r="O313" s="105"/>
      <c r="P313" s="86"/>
      <c r="V313" s="103" t="s">
        <v>1081</v>
      </c>
      <c r="W313" s="68">
        <v>698</v>
      </c>
    </row>
    <row r="314" spans="1:23" x14ac:dyDescent="0.25">
      <c r="A314" s="40">
        <v>1380001</v>
      </c>
      <c r="B314" s="40" t="s">
        <v>1792</v>
      </c>
      <c r="C314" s="68">
        <v>120</v>
      </c>
      <c r="D314" s="111">
        <v>110</v>
      </c>
      <c r="E314" s="40">
        <v>60000</v>
      </c>
      <c r="K314" s="108">
        <v>0</v>
      </c>
      <c r="L314" s="66">
        <f t="shared" si="8"/>
        <v>480000</v>
      </c>
      <c r="M314" s="153">
        <f>-PMT('Interface - Substantial impacts'!$I$42,'Interface - Substantial impacts'!$I$40,'DW Facility data'!L314)</f>
        <v>37381.723307667657</v>
      </c>
      <c r="N314" s="169">
        <f t="shared" si="9"/>
        <v>33792</v>
      </c>
      <c r="O314" s="85">
        <v>127986</v>
      </c>
      <c r="P314" s="81">
        <v>49897</v>
      </c>
      <c r="V314" s="103" t="s">
        <v>1550</v>
      </c>
      <c r="W314" s="68">
        <v>553</v>
      </c>
    </row>
    <row r="315" spans="1:23" x14ac:dyDescent="0.25">
      <c r="A315" s="40">
        <v>1380003</v>
      </c>
      <c r="B315" s="40" t="s">
        <v>1793</v>
      </c>
      <c r="C315" s="68">
        <v>1857</v>
      </c>
      <c r="D315" s="111">
        <v>980</v>
      </c>
      <c r="E315" s="40">
        <v>700000</v>
      </c>
      <c r="F315" s="43">
        <v>2760000</v>
      </c>
      <c r="K315" s="108">
        <v>2760000</v>
      </c>
      <c r="L315" s="66">
        <f t="shared" si="8"/>
        <v>5600000</v>
      </c>
      <c r="M315" s="153">
        <f>-PMT('Interface - Substantial impacts'!$I$42,'Interface - Substantial impacts'!$I$40,'DW Facility data'!L315)</f>
        <v>436120.10525612271</v>
      </c>
      <c r="N315" s="169">
        <f t="shared" si="9"/>
        <v>394240</v>
      </c>
      <c r="O315" s="85">
        <v>660773</v>
      </c>
      <c r="P315" s="81">
        <v>45706</v>
      </c>
      <c r="V315" s="103" t="s">
        <v>1083</v>
      </c>
      <c r="W315" s="68">
        <v>743</v>
      </c>
    </row>
    <row r="316" spans="1:23" x14ac:dyDescent="0.25">
      <c r="A316" s="40">
        <v>1380005</v>
      </c>
      <c r="B316" s="40" t="s">
        <v>1794</v>
      </c>
      <c r="C316" s="68">
        <v>3633</v>
      </c>
      <c r="D316" s="112">
        <v>1826</v>
      </c>
      <c r="E316" s="40">
        <v>1200000</v>
      </c>
      <c r="F316" s="43">
        <v>5020142</v>
      </c>
      <c r="K316" s="108">
        <v>5020142</v>
      </c>
      <c r="L316" s="66">
        <f t="shared" si="8"/>
        <v>9600000</v>
      </c>
      <c r="M316" s="153">
        <f>-PMT('Interface - Substantial impacts'!$I$42,'Interface - Substantial impacts'!$I$40,'DW Facility data'!L316)</f>
        <v>747634.4661533531</v>
      </c>
      <c r="N316" s="169">
        <f t="shared" si="9"/>
        <v>675840</v>
      </c>
      <c r="O316" s="85">
        <v>1276614</v>
      </c>
      <c r="P316" s="81">
        <v>588813</v>
      </c>
      <c r="V316" s="103" t="s">
        <v>1085</v>
      </c>
      <c r="W316" s="68">
        <v>178</v>
      </c>
    </row>
    <row r="317" spans="1:23" x14ac:dyDescent="0.25">
      <c r="A317" s="40">
        <v>1390001</v>
      </c>
      <c r="B317" s="40" t="s">
        <v>1765</v>
      </c>
      <c r="C317" s="68">
        <v>966</v>
      </c>
      <c r="D317" s="111">
        <v>598</v>
      </c>
      <c r="E317" s="40">
        <v>320000</v>
      </c>
      <c r="K317" s="108">
        <v>0</v>
      </c>
      <c r="L317" s="66">
        <f t="shared" si="8"/>
        <v>2560000</v>
      </c>
      <c r="M317" s="153">
        <f>-PMT('Interface - Substantial impacts'!$I$42,'Interface - Substantial impacts'!$I$40,'DW Facility data'!L317)</f>
        <v>199369.19097422753</v>
      </c>
      <c r="N317" s="169">
        <f t="shared" si="9"/>
        <v>180224</v>
      </c>
      <c r="O317" s="85">
        <v>455929</v>
      </c>
      <c r="P317" s="81">
        <v>214865</v>
      </c>
      <c r="V317" s="103" t="s">
        <v>1737</v>
      </c>
      <c r="W317" s="68">
        <v>308</v>
      </c>
    </row>
    <row r="318" spans="1:23" x14ac:dyDescent="0.25">
      <c r="A318" s="40">
        <v>1400001</v>
      </c>
      <c r="B318" s="40" t="s">
        <v>1695</v>
      </c>
      <c r="C318" s="68">
        <v>747</v>
      </c>
      <c r="D318" s="111">
        <v>281</v>
      </c>
      <c r="E318" s="40">
        <v>350400</v>
      </c>
      <c r="K318" s="108">
        <v>0</v>
      </c>
      <c r="L318" s="66">
        <f t="shared" si="8"/>
        <v>2803200</v>
      </c>
      <c r="M318" s="153">
        <f>-PMT('Interface - Substantial impacts'!$I$42,'Interface - Substantial impacts'!$I$40,'DW Facility data'!L318)</f>
        <v>218309.26411677914</v>
      </c>
      <c r="N318" s="169">
        <f t="shared" si="9"/>
        <v>197345.28</v>
      </c>
      <c r="O318" s="85">
        <v>146103</v>
      </c>
      <c r="P318" s="81">
        <v>110024</v>
      </c>
      <c r="V318" s="103" t="s">
        <v>1846</v>
      </c>
      <c r="W318" s="68">
        <v>87</v>
      </c>
    </row>
    <row r="319" spans="1:23" x14ac:dyDescent="0.25">
      <c r="A319" s="40">
        <v>1400003</v>
      </c>
      <c r="B319" s="40" t="s">
        <v>1043</v>
      </c>
      <c r="C319" s="68">
        <v>708</v>
      </c>
      <c r="D319" s="111">
        <v>425</v>
      </c>
      <c r="E319" s="40">
        <v>300000</v>
      </c>
      <c r="K319" s="108">
        <v>0</v>
      </c>
      <c r="L319" s="66">
        <f t="shared" si="8"/>
        <v>2400000</v>
      </c>
      <c r="M319" s="153">
        <f>-PMT('Interface - Substantial impacts'!$I$42,'Interface - Substantial impacts'!$I$40,'DW Facility data'!L319)</f>
        <v>186908.61653833828</v>
      </c>
      <c r="N319" s="169">
        <f t="shared" si="9"/>
        <v>168960</v>
      </c>
      <c r="O319" s="85">
        <v>156526</v>
      </c>
      <c r="P319" s="81">
        <v>130610</v>
      </c>
      <c r="V319" s="103" t="s">
        <v>1984</v>
      </c>
      <c r="W319" s="68">
        <v>90</v>
      </c>
    </row>
    <row r="320" spans="1:23" x14ac:dyDescent="0.25">
      <c r="A320" s="40">
        <v>1400005</v>
      </c>
      <c r="B320" s="40" t="s">
        <v>1696</v>
      </c>
      <c r="C320" s="68">
        <v>714</v>
      </c>
      <c r="D320" s="111">
        <v>317</v>
      </c>
      <c r="E320" s="40">
        <v>141000</v>
      </c>
      <c r="K320" s="108">
        <v>0</v>
      </c>
      <c r="L320" s="66">
        <f t="shared" si="8"/>
        <v>1128000</v>
      </c>
      <c r="M320" s="153">
        <f>-PMT('Interface - Substantial impacts'!$I$42,'Interface - Substantial impacts'!$I$40,'DW Facility data'!L320)</f>
        <v>87847.049773018996</v>
      </c>
      <c r="N320" s="169">
        <f t="shared" si="9"/>
        <v>79411.200000000012</v>
      </c>
      <c r="O320" s="85">
        <v>62924</v>
      </c>
      <c r="P320" s="81">
        <v>0</v>
      </c>
      <c r="V320" s="103" t="s">
        <v>1458</v>
      </c>
      <c r="W320" s="68">
        <v>19079</v>
      </c>
    </row>
    <row r="321" spans="1:23" x14ac:dyDescent="0.25">
      <c r="A321" s="40">
        <v>1400007</v>
      </c>
      <c r="B321" s="40" t="s">
        <v>1538</v>
      </c>
      <c r="C321" s="68">
        <v>148</v>
      </c>
      <c r="D321" s="111">
        <v>70</v>
      </c>
      <c r="E321" s="40">
        <v>30000</v>
      </c>
      <c r="K321" s="108">
        <v>0</v>
      </c>
      <c r="L321" s="66">
        <f t="shared" si="8"/>
        <v>240000</v>
      </c>
      <c r="M321" s="153">
        <f>-PMT('Interface - Substantial impacts'!$I$42,'Interface - Substantial impacts'!$I$40,'DW Facility data'!L321)</f>
        <v>18690.861653833828</v>
      </c>
      <c r="N321" s="169">
        <f t="shared" si="9"/>
        <v>16896</v>
      </c>
      <c r="O321" s="85">
        <v>15281</v>
      </c>
      <c r="P321" s="81">
        <v>0</v>
      </c>
      <c r="V321" s="103" t="s">
        <v>1926</v>
      </c>
      <c r="W321" s="68">
        <v>997</v>
      </c>
    </row>
    <row r="322" spans="1:23" x14ac:dyDescent="0.25">
      <c r="A322" s="40">
        <v>1400008</v>
      </c>
      <c r="B322" s="40" t="s">
        <v>1099</v>
      </c>
      <c r="C322" s="68">
        <v>2517</v>
      </c>
      <c r="D322" s="112">
        <v>1054</v>
      </c>
      <c r="E322" s="40">
        <v>796000</v>
      </c>
      <c r="K322" s="108">
        <v>0</v>
      </c>
      <c r="L322" s="66">
        <f t="shared" ref="L322:L385" si="10">E322*8</f>
        <v>6368000</v>
      </c>
      <c r="M322" s="153">
        <f>-PMT('Interface - Substantial impacts'!$I$42,'Interface - Substantial impacts'!$I$40,'DW Facility data'!L322)</f>
        <v>495930.86254839099</v>
      </c>
      <c r="N322" s="169">
        <f t="shared" si="9"/>
        <v>448307.20000000001</v>
      </c>
      <c r="O322" s="85">
        <v>431306</v>
      </c>
      <c r="P322" s="81">
        <v>326277</v>
      </c>
      <c r="V322" s="103" t="s">
        <v>1658</v>
      </c>
      <c r="W322" s="68">
        <v>2071</v>
      </c>
    </row>
    <row r="323" spans="1:23" x14ac:dyDescent="0.25">
      <c r="A323" s="40">
        <v>1400010</v>
      </c>
      <c r="B323" s="40" t="s">
        <v>1663</v>
      </c>
      <c r="C323" s="68">
        <v>4213</v>
      </c>
      <c r="D323" s="112">
        <v>1749</v>
      </c>
      <c r="E323" s="40">
        <v>1744000</v>
      </c>
      <c r="F323" s="43">
        <v>3500000</v>
      </c>
      <c r="K323" s="108">
        <v>3500000</v>
      </c>
      <c r="L323" s="66">
        <f t="shared" si="10"/>
        <v>13952000</v>
      </c>
      <c r="M323" s="153">
        <f>-PMT('Interface - Substantial impacts'!$I$42,'Interface - Substantial impacts'!$I$40,'DW Facility data'!L323)</f>
        <v>1086562.0908095399</v>
      </c>
      <c r="N323" s="169">
        <f t="shared" ref="N323:N386" si="11">L323*0.0704</f>
        <v>982220.80000000005</v>
      </c>
      <c r="O323" s="85">
        <v>1478345</v>
      </c>
      <c r="P323" s="81">
        <v>142897</v>
      </c>
      <c r="V323" s="103" t="s">
        <v>1804</v>
      </c>
      <c r="W323" s="68">
        <v>2020</v>
      </c>
    </row>
    <row r="324" spans="1:23" x14ac:dyDescent="0.25">
      <c r="A324" s="40">
        <v>1400012</v>
      </c>
      <c r="B324" s="40" t="s">
        <v>1137</v>
      </c>
      <c r="C324" s="68">
        <v>3249</v>
      </c>
      <c r="D324" s="112">
        <v>1265</v>
      </c>
      <c r="E324" s="40">
        <v>701000</v>
      </c>
      <c r="K324" s="108">
        <v>0</v>
      </c>
      <c r="L324" s="66">
        <f t="shared" si="10"/>
        <v>5608000</v>
      </c>
      <c r="M324" s="153">
        <f>-PMT('Interface - Substantial impacts'!$I$42,'Interface - Substantial impacts'!$I$40,'DW Facility data'!L324)</f>
        <v>436743.13397791714</v>
      </c>
      <c r="N324" s="169">
        <f t="shared" si="11"/>
        <v>394803.20000000001</v>
      </c>
      <c r="O324" s="85">
        <v>565798</v>
      </c>
      <c r="P324" s="81">
        <v>605985</v>
      </c>
      <c r="V324" s="103" t="s">
        <v>1522</v>
      </c>
      <c r="W324" s="68">
        <v>15766</v>
      </c>
    </row>
    <row r="325" spans="1:23" x14ac:dyDescent="0.25">
      <c r="A325" s="40">
        <v>1400013</v>
      </c>
      <c r="B325" s="40" t="s">
        <v>1151</v>
      </c>
      <c r="C325" s="68">
        <v>8162</v>
      </c>
      <c r="D325" s="112">
        <v>3167</v>
      </c>
      <c r="E325" s="40">
        <v>1299000</v>
      </c>
      <c r="K325" s="108">
        <v>0</v>
      </c>
      <c r="L325" s="66">
        <f t="shared" si="10"/>
        <v>10392000</v>
      </c>
      <c r="M325" s="153">
        <f>-PMT('Interface - Substantial impacts'!$I$42,'Interface - Substantial impacts'!$I$40,'DW Facility data'!L325)</f>
        <v>809314.30961100478</v>
      </c>
      <c r="N325" s="169">
        <f t="shared" si="11"/>
        <v>731596.80000000005</v>
      </c>
      <c r="O325" s="85">
        <v>1124330</v>
      </c>
      <c r="P325" s="81">
        <v>423965</v>
      </c>
      <c r="V325" s="103" t="s">
        <v>1087</v>
      </c>
      <c r="W325" s="68">
        <v>14599</v>
      </c>
    </row>
    <row r="326" spans="1:23" x14ac:dyDescent="0.25">
      <c r="A326" s="40">
        <v>1400015</v>
      </c>
      <c r="B326" s="40" t="s">
        <v>1242</v>
      </c>
      <c r="C326" s="68">
        <v>1750</v>
      </c>
      <c r="D326" s="112">
        <v>1018</v>
      </c>
      <c r="E326" s="40">
        <v>256000</v>
      </c>
      <c r="K326" s="108">
        <v>0</v>
      </c>
      <c r="L326" s="66">
        <f t="shared" si="10"/>
        <v>2048000</v>
      </c>
      <c r="M326" s="153">
        <f>-PMT('Interface - Substantial impacts'!$I$42,'Interface - Substantial impacts'!$I$40,'DW Facility data'!L326)</f>
        <v>159495.352779382</v>
      </c>
      <c r="N326" s="169">
        <f t="shared" si="11"/>
        <v>144179.20000000001</v>
      </c>
      <c r="O326" s="85">
        <v>383206</v>
      </c>
      <c r="P326" s="81">
        <v>2722296</v>
      </c>
      <c r="V326" s="103" t="s">
        <v>2007</v>
      </c>
      <c r="W326" s="68">
        <v>61</v>
      </c>
    </row>
    <row r="327" spans="1:23" x14ac:dyDescent="0.25">
      <c r="A327" s="40">
        <v>1410001</v>
      </c>
      <c r="B327" s="40" t="s">
        <v>1990</v>
      </c>
      <c r="C327" s="68">
        <v>616</v>
      </c>
      <c r="D327" s="111">
        <v>430</v>
      </c>
      <c r="E327" s="40">
        <v>120000</v>
      </c>
      <c r="K327" s="108">
        <v>0</v>
      </c>
      <c r="L327" s="66">
        <f t="shared" si="10"/>
        <v>960000</v>
      </c>
      <c r="M327" s="153">
        <f>-PMT('Interface - Substantial impacts'!$I$42,'Interface - Substantial impacts'!$I$40,'DW Facility data'!L327)</f>
        <v>74763.446615335313</v>
      </c>
      <c r="N327" s="169">
        <f t="shared" si="11"/>
        <v>67584</v>
      </c>
      <c r="O327" s="85">
        <v>137322</v>
      </c>
      <c r="P327" s="81">
        <v>12200</v>
      </c>
      <c r="V327" s="103" t="s">
        <v>1703</v>
      </c>
      <c r="W327" s="68">
        <v>5802</v>
      </c>
    </row>
    <row r="328" spans="1:23" x14ac:dyDescent="0.25">
      <c r="A328" s="40">
        <v>1410002</v>
      </c>
      <c r="B328" s="40" t="s">
        <v>1966</v>
      </c>
      <c r="C328" s="68">
        <v>560</v>
      </c>
      <c r="D328" s="111">
        <v>380</v>
      </c>
      <c r="E328" s="40">
        <v>144000</v>
      </c>
      <c r="K328" s="108">
        <v>0</v>
      </c>
      <c r="L328" s="66">
        <f t="shared" si="10"/>
        <v>1152000</v>
      </c>
      <c r="M328" s="153">
        <f>-PMT('Interface - Substantial impacts'!$I$42,'Interface - Substantial impacts'!$I$40,'DW Facility data'!L328)</f>
        <v>89716.135938402382</v>
      </c>
      <c r="N328" s="169">
        <f t="shared" si="11"/>
        <v>81100.800000000003</v>
      </c>
      <c r="O328" s="85">
        <v>132721</v>
      </c>
      <c r="P328" s="81">
        <v>67412</v>
      </c>
      <c r="V328" s="103" t="s">
        <v>1593</v>
      </c>
      <c r="W328" s="68">
        <v>35801</v>
      </c>
    </row>
    <row r="329" spans="1:23" x14ac:dyDescent="0.25">
      <c r="A329" s="40">
        <v>1410003</v>
      </c>
      <c r="B329" s="40" t="s">
        <v>1981</v>
      </c>
      <c r="C329" s="68">
        <v>687</v>
      </c>
      <c r="D329" s="111">
        <v>372</v>
      </c>
      <c r="E329" s="40">
        <v>130000</v>
      </c>
      <c r="K329" s="108">
        <v>0</v>
      </c>
      <c r="L329" s="66">
        <f t="shared" si="10"/>
        <v>1040000</v>
      </c>
      <c r="M329" s="153">
        <f>-PMT('Interface - Substantial impacts'!$I$42,'Interface - Substantial impacts'!$I$40,'DW Facility data'!L329)</f>
        <v>80993.733833279926</v>
      </c>
      <c r="N329" s="169">
        <f t="shared" si="11"/>
        <v>73216</v>
      </c>
      <c r="O329" s="85">
        <v>188588</v>
      </c>
      <c r="P329" s="81">
        <v>69062</v>
      </c>
      <c r="V329" s="103" t="s">
        <v>1617</v>
      </c>
      <c r="W329" s="68">
        <v>166</v>
      </c>
    </row>
    <row r="330" spans="1:23" x14ac:dyDescent="0.25">
      <c r="A330" s="40">
        <v>1410004</v>
      </c>
      <c r="B330" s="40" t="s">
        <v>1945</v>
      </c>
      <c r="C330" s="68">
        <v>1138</v>
      </c>
      <c r="D330" s="111">
        <v>593</v>
      </c>
      <c r="E330" s="40">
        <v>150000</v>
      </c>
      <c r="K330" s="108">
        <v>0</v>
      </c>
      <c r="L330" s="66">
        <f t="shared" si="10"/>
        <v>1200000</v>
      </c>
      <c r="M330" s="153">
        <f>-PMT('Interface - Substantial impacts'!$I$42,'Interface - Substantial impacts'!$I$40,'DW Facility data'!L330)</f>
        <v>93454.308269169138</v>
      </c>
      <c r="N330" s="169">
        <f t="shared" si="11"/>
        <v>84480</v>
      </c>
      <c r="O330" s="85">
        <v>338847</v>
      </c>
      <c r="P330" s="81">
        <v>232040</v>
      </c>
      <c r="V330" s="103" t="s">
        <v>1989</v>
      </c>
      <c r="W330" s="68">
        <v>110</v>
      </c>
    </row>
    <row r="331" spans="1:23" x14ac:dyDescent="0.25">
      <c r="A331" s="40">
        <v>1410005</v>
      </c>
      <c r="B331" s="109" t="s">
        <v>1985</v>
      </c>
      <c r="C331" s="69"/>
      <c r="D331" s="114"/>
      <c r="E331" s="40">
        <v>0</v>
      </c>
      <c r="K331" s="108">
        <v>0</v>
      </c>
      <c r="L331" s="66">
        <f t="shared" si="10"/>
        <v>0</v>
      </c>
      <c r="M331" s="153">
        <f>-PMT('Interface - Substantial impacts'!$I$42,'Interface - Substantial impacts'!$I$40,'DW Facility data'!L331)</f>
        <v>0</v>
      </c>
      <c r="N331" s="169">
        <f t="shared" si="11"/>
        <v>0</v>
      </c>
      <c r="O331" s="105"/>
      <c r="P331" s="86"/>
      <c r="V331" s="103" t="s">
        <v>1816</v>
      </c>
      <c r="W331" s="68">
        <v>576</v>
      </c>
    </row>
    <row r="332" spans="1:23" x14ac:dyDescent="0.25">
      <c r="A332" s="40">
        <v>1410006</v>
      </c>
      <c r="B332" s="40" t="s">
        <v>1979</v>
      </c>
      <c r="C332" s="68">
        <v>87</v>
      </c>
      <c r="D332" s="111">
        <v>54</v>
      </c>
      <c r="E332" s="40">
        <v>0</v>
      </c>
      <c r="K332" s="108">
        <v>0</v>
      </c>
      <c r="L332" s="66">
        <f t="shared" si="10"/>
        <v>0</v>
      </c>
      <c r="M332" s="153">
        <f>-PMT('Interface - Substantial impacts'!$I$42,'Interface - Substantial impacts'!$I$40,'DW Facility data'!L332)</f>
        <v>0</v>
      </c>
      <c r="N332" s="169">
        <f t="shared" si="11"/>
        <v>0</v>
      </c>
      <c r="O332" s="85">
        <v>15587</v>
      </c>
      <c r="P332" s="81">
        <v>0</v>
      </c>
      <c r="V332" s="103" t="s">
        <v>1874</v>
      </c>
      <c r="W332" s="68">
        <v>6804</v>
      </c>
    </row>
    <row r="333" spans="1:23" x14ac:dyDescent="0.25">
      <c r="A333" s="40">
        <v>1410007</v>
      </c>
      <c r="B333" s="109" t="s">
        <v>1536</v>
      </c>
      <c r="C333" s="69"/>
      <c r="D333" s="111"/>
      <c r="E333" s="40">
        <v>6111000</v>
      </c>
      <c r="K333" s="108">
        <v>0</v>
      </c>
      <c r="L333" s="66">
        <f t="shared" si="10"/>
        <v>48888000</v>
      </c>
      <c r="M333" s="153">
        <f>-PMT('Interface - Substantial impacts'!$I$42,'Interface - Substantial impacts'!$I$40,'DW Facility data'!L333)</f>
        <v>3807328.518885951</v>
      </c>
      <c r="N333" s="169">
        <f t="shared" si="11"/>
        <v>3441715.2000000002</v>
      </c>
      <c r="O333" s="105"/>
      <c r="P333" s="86"/>
      <c r="V333" s="103" t="s">
        <v>1900</v>
      </c>
      <c r="W333" s="68">
        <v>803</v>
      </c>
    </row>
    <row r="334" spans="1:23" x14ac:dyDescent="0.25">
      <c r="A334" s="40">
        <v>1420001</v>
      </c>
      <c r="B334" s="40" t="s">
        <v>1512</v>
      </c>
      <c r="C334" s="68">
        <v>595</v>
      </c>
      <c r="D334" s="111">
        <v>271</v>
      </c>
      <c r="E334" s="40">
        <v>270000</v>
      </c>
      <c r="F334" s="17"/>
      <c r="K334" s="108">
        <v>0</v>
      </c>
      <c r="L334" s="66">
        <f t="shared" si="10"/>
        <v>2160000</v>
      </c>
      <c r="M334" s="153">
        <f>-PMT('Interface - Substantial impacts'!$I$42,'Interface - Substantial impacts'!$I$40,'DW Facility data'!L334)</f>
        <v>168217.75488450445</v>
      </c>
      <c r="N334" s="169">
        <f t="shared" si="11"/>
        <v>152064</v>
      </c>
      <c r="O334" s="85">
        <v>113427</v>
      </c>
      <c r="P334" s="81">
        <v>54097</v>
      </c>
      <c r="V334" s="103" t="s">
        <v>1966</v>
      </c>
      <c r="W334" s="68">
        <v>560</v>
      </c>
    </row>
    <row r="335" spans="1:23" x14ac:dyDescent="0.25">
      <c r="A335" s="40">
        <v>1420002</v>
      </c>
      <c r="B335" s="40" t="s">
        <v>1616</v>
      </c>
      <c r="C335" s="68">
        <v>1149</v>
      </c>
      <c r="D335" s="111">
        <v>592</v>
      </c>
      <c r="E335" s="40">
        <v>280000</v>
      </c>
      <c r="K335" s="108">
        <v>0</v>
      </c>
      <c r="L335" s="66">
        <f t="shared" si="10"/>
        <v>2240000</v>
      </c>
      <c r="M335" s="153">
        <f>-PMT('Interface - Substantial impacts'!$I$42,'Interface - Substantial impacts'!$I$40,'DW Facility data'!L335)</f>
        <v>174448.04210244908</v>
      </c>
      <c r="N335" s="169">
        <f t="shared" si="11"/>
        <v>157696</v>
      </c>
      <c r="O335" s="85">
        <v>198443</v>
      </c>
      <c r="P335" s="81">
        <v>52025</v>
      </c>
      <c r="V335" s="103" t="s">
        <v>1534</v>
      </c>
      <c r="W335" s="68">
        <v>3323</v>
      </c>
    </row>
    <row r="336" spans="1:23" x14ac:dyDescent="0.25">
      <c r="A336" s="40">
        <v>1420003</v>
      </c>
      <c r="B336" s="40" t="s">
        <v>1976</v>
      </c>
      <c r="C336" s="68">
        <v>28</v>
      </c>
      <c r="D336" s="111">
        <v>9</v>
      </c>
      <c r="E336" s="40">
        <v>6250</v>
      </c>
      <c r="K336" s="108">
        <v>0</v>
      </c>
      <c r="L336" s="66">
        <f t="shared" si="10"/>
        <v>50000</v>
      </c>
      <c r="M336" s="153">
        <f>-PMT('Interface - Substantial impacts'!$I$42,'Interface - Substantial impacts'!$I$40,'DW Facility data'!L336)</f>
        <v>3893.9295112153814</v>
      </c>
      <c r="N336" s="169">
        <f t="shared" si="11"/>
        <v>3520</v>
      </c>
      <c r="O336" s="85">
        <v>2728</v>
      </c>
      <c r="P336" s="81">
        <v>0</v>
      </c>
      <c r="V336" s="103" t="s">
        <v>1569</v>
      </c>
      <c r="W336" s="68">
        <v>2421</v>
      </c>
    </row>
    <row r="337" spans="1:23" x14ac:dyDescent="0.25">
      <c r="A337" s="40">
        <v>1420004</v>
      </c>
      <c r="B337" s="40" t="s">
        <v>1978</v>
      </c>
      <c r="C337" s="68">
        <v>376</v>
      </c>
      <c r="D337" s="111">
        <v>202</v>
      </c>
      <c r="E337" s="40">
        <v>69000</v>
      </c>
      <c r="K337" s="108">
        <v>0</v>
      </c>
      <c r="L337" s="66">
        <f t="shared" si="10"/>
        <v>552000</v>
      </c>
      <c r="M337" s="153">
        <f>-PMT('Interface - Substantial impacts'!$I$42,'Interface - Substantial impacts'!$I$40,'DW Facility data'!L337)</f>
        <v>42988.981803817805</v>
      </c>
      <c r="N337" s="169">
        <f t="shared" si="11"/>
        <v>38860.800000000003</v>
      </c>
      <c r="O337" s="85">
        <v>66437</v>
      </c>
      <c r="P337" s="81">
        <v>27458</v>
      </c>
      <c r="V337" s="103" t="s">
        <v>2026</v>
      </c>
      <c r="W337" s="68">
        <v>610</v>
      </c>
    </row>
    <row r="338" spans="1:23" x14ac:dyDescent="0.25">
      <c r="A338" s="40">
        <v>1420005</v>
      </c>
      <c r="B338" s="40" t="s">
        <v>1972</v>
      </c>
      <c r="C338" s="68">
        <v>436</v>
      </c>
      <c r="D338" s="111">
        <v>212</v>
      </c>
      <c r="E338" s="40">
        <v>50000</v>
      </c>
      <c r="K338" s="108">
        <v>0</v>
      </c>
      <c r="L338" s="66">
        <f t="shared" si="10"/>
        <v>400000</v>
      </c>
      <c r="M338" s="153">
        <f>-PMT('Interface - Substantial impacts'!$I$42,'Interface - Substantial impacts'!$I$40,'DW Facility data'!L338)</f>
        <v>31151.436089723051</v>
      </c>
      <c r="N338" s="169">
        <f t="shared" si="11"/>
        <v>28160</v>
      </c>
      <c r="O338" s="85">
        <v>112575</v>
      </c>
      <c r="P338" s="81">
        <v>2563</v>
      </c>
      <c r="V338" s="103" t="s">
        <v>2002</v>
      </c>
      <c r="W338" s="68">
        <v>349</v>
      </c>
    </row>
    <row r="339" spans="1:23" x14ac:dyDescent="0.25">
      <c r="A339" s="40">
        <v>1420006</v>
      </c>
      <c r="B339" s="109" t="s">
        <v>1123</v>
      </c>
      <c r="C339" s="69"/>
      <c r="D339" s="112">
        <v>5925</v>
      </c>
      <c r="E339" s="40">
        <v>5000000</v>
      </c>
      <c r="K339" s="108">
        <v>0</v>
      </c>
      <c r="L339" s="66">
        <f t="shared" si="10"/>
        <v>40000000</v>
      </c>
      <c r="M339" s="153">
        <f>-PMT('Interface - Substantial impacts'!$I$42,'Interface - Substantial impacts'!$I$40,'DW Facility data'!L339)</f>
        <v>3115143.608972305</v>
      </c>
      <c r="N339" s="169">
        <f t="shared" si="11"/>
        <v>2816000</v>
      </c>
      <c r="O339" s="105"/>
      <c r="P339" s="86"/>
      <c r="V339" s="103" t="s">
        <v>1944</v>
      </c>
      <c r="W339" s="68">
        <v>24</v>
      </c>
    </row>
    <row r="340" spans="1:23" x14ac:dyDescent="0.25">
      <c r="A340" s="40">
        <v>1420007</v>
      </c>
      <c r="B340" s="108" t="s">
        <v>1965</v>
      </c>
      <c r="C340" s="68">
        <v>1366</v>
      </c>
      <c r="D340" s="111">
        <v>627</v>
      </c>
      <c r="E340" s="40">
        <v>145000</v>
      </c>
      <c r="K340" s="108">
        <v>0</v>
      </c>
      <c r="L340" s="66">
        <f t="shared" si="10"/>
        <v>1160000</v>
      </c>
      <c r="M340" s="153">
        <f>-PMT('Interface - Substantial impacts'!$I$42,'Interface - Substantial impacts'!$I$40,'DW Facility data'!L340)</f>
        <v>90339.164660196839</v>
      </c>
      <c r="N340" s="169">
        <f t="shared" si="11"/>
        <v>81664</v>
      </c>
      <c r="O340" s="104">
        <v>214522</v>
      </c>
      <c r="P340" s="81">
        <v>0</v>
      </c>
      <c r="V340" s="109"/>
      <c r="W340" s="69"/>
    </row>
    <row r="341" spans="1:23" x14ac:dyDescent="0.25">
      <c r="A341" s="40">
        <v>1420008</v>
      </c>
      <c r="B341" s="40" t="s">
        <v>1971</v>
      </c>
      <c r="C341" s="68">
        <v>348</v>
      </c>
      <c r="D341" s="111">
        <v>167</v>
      </c>
      <c r="E341" s="40">
        <v>60000</v>
      </c>
      <c r="K341" s="108">
        <v>0</v>
      </c>
      <c r="L341" s="66">
        <f t="shared" si="10"/>
        <v>480000</v>
      </c>
      <c r="M341" s="153">
        <f>-PMT('Interface - Substantial impacts'!$I$42,'Interface - Substantial impacts'!$I$40,'DW Facility data'!L341)</f>
        <v>37381.723307667657</v>
      </c>
      <c r="N341" s="169">
        <f t="shared" si="11"/>
        <v>33792</v>
      </c>
      <c r="O341" s="85">
        <v>115187</v>
      </c>
      <c r="P341" s="81">
        <v>0</v>
      </c>
      <c r="V341" s="103" t="s">
        <v>1089</v>
      </c>
      <c r="W341" s="68">
        <v>6656</v>
      </c>
    </row>
    <row r="342" spans="1:23" x14ac:dyDescent="0.25">
      <c r="A342" s="40">
        <v>1420009</v>
      </c>
      <c r="B342" s="40" t="s">
        <v>1967</v>
      </c>
      <c r="C342" s="68">
        <v>136</v>
      </c>
      <c r="D342" s="111">
        <v>71</v>
      </c>
      <c r="E342" s="40">
        <v>17500</v>
      </c>
      <c r="K342" s="108">
        <v>0</v>
      </c>
      <c r="L342" s="66">
        <f t="shared" si="10"/>
        <v>140000</v>
      </c>
      <c r="M342" s="153">
        <f>-PMT('Interface - Substantial impacts'!$I$42,'Interface - Substantial impacts'!$I$40,'DW Facility data'!L342)</f>
        <v>10903.002631403067</v>
      </c>
      <c r="N342" s="169">
        <f t="shared" si="11"/>
        <v>9856</v>
      </c>
      <c r="O342" s="85">
        <v>42029</v>
      </c>
      <c r="P342" s="81">
        <v>0</v>
      </c>
      <c r="V342" s="103" t="s">
        <v>1746</v>
      </c>
      <c r="W342" s="68">
        <v>569</v>
      </c>
    </row>
    <row r="343" spans="1:23" x14ac:dyDescent="0.25">
      <c r="A343" s="40">
        <v>1420010</v>
      </c>
      <c r="B343" s="40" t="s">
        <v>1654</v>
      </c>
      <c r="C343" s="68">
        <v>2076</v>
      </c>
      <c r="D343" s="111">
        <v>965</v>
      </c>
      <c r="E343" s="40">
        <v>400000</v>
      </c>
      <c r="K343" s="108">
        <v>0</v>
      </c>
      <c r="L343" s="66">
        <f t="shared" si="10"/>
        <v>3200000</v>
      </c>
      <c r="M343" s="153">
        <f>-PMT('Interface - Substantial impacts'!$I$42,'Interface - Substantial impacts'!$I$40,'DW Facility data'!L343)</f>
        <v>249211.48871778441</v>
      </c>
      <c r="N343" s="169">
        <f t="shared" si="11"/>
        <v>225280</v>
      </c>
      <c r="O343" s="85">
        <v>556164</v>
      </c>
      <c r="P343" s="81">
        <v>199899</v>
      </c>
      <c r="V343" s="103" t="s">
        <v>1648</v>
      </c>
      <c r="W343" s="68">
        <v>710</v>
      </c>
    </row>
    <row r="344" spans="1:23" x14ac:dyDescent="0.25">
      <c r="A344" s="40">
        <v>1420011</v>
      </c>
      <c r="B344" s="40" t="s">
        <v>1968</v>
      </c>
      <c r="C344" s="68">
        <v>124</v>
      </c>
      <c r="D344" s="111">
        <v>56</v>
      </c>
      <c r="E344" s="40">
        <v>0</v>
      </c>
      <c r="K344" s="108">
        <v>0</v>
      </c>
      <c r="L344" s="66">
        <f t="shared" si="10"/>
        <v>0</v>
      </c>
      <c r="M344" s="153">
        <f>-PMT('Interface - Substantial impacts'!$I$42,'Interface - Substantial impacts'!$I$40,'DW Facility data'!L344)</f>
        <v>0</v>
      </c>
      <c r="N344" s="169">
        <f t="shared" si="11"/>
        <v>0</v>
      </c>
      <c r="O344" s="85">
        <v>30915</v>
      </c>
      <c r="P344" s="81">
        <v>0</v>
      </c>
      <c r="V344" s="103" t="s">
        <v>1696</v>
      </c>
      <c r="W344" s="68">
        <v>714</v>
      </c>
    </row>
    <row r="345" spans="1:23" x14ac:dyDescent="0.25">
      <c r="A345" s="40">
        <v>1420012</v>
      </c>
      <c r="B345" s="109" t="s">
        <v>1951</v>
      </c>
      <c r="C345" s="69"/>
      <c r="D345" s="114"/>
      <c r="E345" s="40">
        <v>0</v>
      </c>
      <c r="K345" s="108">
        <v>0</v>
      </c>
      <c r="L345" s="66">
        <f t="shared" si="10"/>
        <v>0</v>
      </c>
      <c r="M345" s="153">
        <f>-PMT('Interface - Substantial impacts'!$I$42,'Interface - Substantial impacts'!$I$40,'DW Facility data'!L345)</f>
        <v>0</v>
      </c>
      <c r="N345" s="169">
        <f t="shared" si="11"/>
        <v>0</v>
      </c>
      <c r="O345" s="105"/>
      <c r="P345" s="86"/>
      <c r="V345" s="103" t="s">
        <v>1091</v>
      </c>
      <c r="W345" s="68">
        <v>6851</v>
      </c>
    </row>
    <row r="346" spans="1:23" x14ac:dyDescent="0.25">
      <c r="A346" s="40">
        <v>1430001</v>
      </c>
      <c r="B346" s="108" t="s">
        <v>1909</v>
      </c>
      <c r="C346" s="68">
        <v>113</v>
      </c>
      <c r="D346" s="111">
        <v>84</v>
      </c>
      <c r="E346" s="40">
        <v>13500</v>
      </c>
      <c r="K346" s="108">
        <v>0</v>
      </c>
      <c r="L346" s="66">
        <f t="shared" si="10"/>
        <v>108000</v>
      </c>
      <c r="M346" s="153">
        <f>-PMT('Interface - Substantial impacts'!$I$42,'Interface - Substantial impacts'!$I$40,'DW Facility data'!L346)</f>
        <v>8410.8877442252233</v>
      </c>
      <c r="N346" s="169">
        <f t="shared" si="11"/>
        <v>7603.2000000000007</v>
      </c>
      <c r="O346" s="104">
        <v>17667</v>
      </c>
      <c r="P346" s="81">
        <v>12495</v>
      </c>
      <c r="V346" s="109"/>
      <c r="W346" s="69"/>
    </row>
    <row r="347" spans="1:23" x14ac:dyDescent="0.25">
      <c r="A347" s="40">
        <v>1430002</v>
      </c>
      <c r="B347" s="40" t="s">
        <v>1632</v>
      </c>
      <c r="C347" s="68">
        <v>731</v>
      </c>
      <c r="D347" s="111">
        <v>336</v>
      </c>
      <c r="E347" s="40">
        <v>194000</v>
      </c>
      <c r="K347" s="108">
        <v>0</v>
      </c>
      <c r="L347" s="66">
        <f t="shared" si="10"/>
        <v>1552000</v>
      </c>
      <c r="M347" s="153">
        <f>-PMT('Interface - Substantial impacts'!$I$42,'Interface - Substantial impacts'!$I$40,'DW Facility data'!L347)</f>
        <v>120867.57202812543</v>
      </c>
      <c r="N347" s="169">
        <f t="shared" si="11"/>
        <v>109260.8</v>
      </c>
      <c r="O347" s="85">
        <v>78663</v>
      </c>
      <c r="P347" s="81">
        <v>0</v>
      </c>
      <c r="V347" s="103" t="s">
        <v>1757</v>
      </c>
      <c r="W347" s="68">
        <v>258</v>
      </c>
    </row>
    <row r="348" spans="1:23" x14ac:dyDescent="0.25">
      <c r="A348" s="40">
        <v>1430003</v>
      </c>
      <c r="B348" s="40" t="s">
        <v>1514</v>
      </c>
      <c r="C348" s="68">
        <v>5744</v>
      </c>
      <c r="D348" s="112">
        <v>2172</v>
      </c>
      <c r="E348" s="40">
        <v>722000</v>
      </c>
      <c r="K348" s="108">
        <v>0</v>
      </c>
      <c r="L348" s="66">
        <f t="shared" si="10"/>
        <v>5776000</v>
      </c>
      <c r="M348" s="153">
        <f>-PMT('Interface - Substantial impacts'!$I$42,'Interface - Substantial impacts'!$I$40,'DW Facility data'!L348)</f>
        <v>449826.73713560082</v>
      </c>
      <c r="N348" s="169">
        <f t="shared" si="11"/>
        <v>406630.40000000002</v>
      </c>
      <c r="O348" s="85">
        <v>917079</v>
      </c>
      <c r="P348" s="81">
        <v>47318</v>
      </c>
      <c r="V348" s="103" t="s">
        <v>1556</v>
      </c>
      <c r="W348" s="68">
        <v>415</v>
      </c>
    </row>
    <row r="349" spans="1:23" x14ac:dyDescent="0.25">
      <c r="A349" s="40">
        <v>1430004</v>
      </c>
      <c r="B349" s="40" t="s">
        <v>1087</v>
      </c>
      <c r="C349" s="68">
        <v>14599</v>
      </c>
      <c r="D349" s="112">
        <v>6868</v>
      </c>
      <c r="E349" s="40">
        <v>2216000</v>
      </c>
      <c r="K349" s="108">
        <v>0</v>
      </c>
      <c r="L349" s="66">
        <f t="shared" si="10"/>
        <v>17728000</v>
      </c>
      <c r="M349" s="153">
        <f>-PMT('Interface - Substantial impacts'!$I$42,'Interface - Substantial impacts'!$I$40,'DW Facility data'!L349)</f>
        <v>1380631.6474965254</v>
      </c>
      <c r="N349" s="169">
        <f t="shared" si="11"/>
        <v>1248051.2000000002</v>
      </c>
      <c r="O349" s="85">
        <v>2320589</v>
      </c>
      <c r="P349" s="81">
        <v>3190064</v>
      </c>
      <c r="V349" s="103" t="s">
        <v>1964</v>
      </c>
      <c r="W349" s="68">
        <v>176</v>
      </c>
    </row>
    <row r="350" spans="1:23" x14ac:dyDescent="0.25">
      <c r="A350" s="40">
        <v>1430006</v>
      </c>
      <c r="B350" s="40" t="s">
        <v>1101</v>
      </c>
      <c r="C350" s="68">
        <v>1894</v>
      </c>
      <c r="D350" s="111">
        <v>712</v>
      </c>
      <c r="E350" s="40">
        <v>400000</v>
      </c>
      <c r="K350" s="108">
        <v>0</v>
      </c>
      <c r="L350" s="66">
        <f t="shared" si="10"/>
        <v>3200000</v>
      </c>
      <c r="M350" s="153">
        <f>-PMT('Interface - Substantial impacts'!$I$42,'Interface - Substantial impacts'!$I$40,'DW Facility data'!L350)</f>
        <v>249211.48871778441</v>
      </c>
      <c r="N350" s="169">
        <f t="shared" si="11"/>
        <v>225280</v>
      </c>
      <c r="O350" s="85">
        <v>210959</v>
      </c>
      <c r="P350" s="81">
        <v>115848</v>
      </c>
      <c r="V350" s="103" t="s">
        <v>1994</v>
      </c>
      <c r="W350" s="68">
        <v>60</v>
      </c>
    </row>
    <row r="351" spans="1:23" x14ac:dyDescent="0.25">
      <c r="A351" s="40">
        <v>1430007</v>
      </c>
      <c r="B351" s="108" t="s">
        <v>1778</v>
      </c>
      <c r="C351" s="68">
        <v>329</v>
      </c>
      <c r="D351" s="111">
        <v>114</v>
      </c>
      <c r="E351" s="40">
        <v>83000</v>
      </c>
      <c r="F351" s="43">
        <v>2655375</v>
      </c>
      <c r="K351" s="108">
        <v>2655375</v>
      </c>
      <c r="L351" s="66">
        <f t="shared" si="10"/>
        <v>664000</v>
      </c>
      <c r="M351" s="153">
        <f>-PMT('Interface - Substantial impacts'!$I$42,'Interface - Substantial impacts'!$I$40,'DW Facility data'!L351)</f>
        <v>51711.383908940261</v>
      </c>
      <c r="N351" s="169">
        <f t="shared" si="11"/>
        <v>46745.600000000006</v>
      </c>
      <c r="O351" s="104">
        <v>48444</v>
      </c>
      <c r="P351" s="81">
        <v>0</v>
      </c>
      <c r="V351" s="109"/>
      <c r="W351" s="69"/>
    </row>
    <row r="352" spans="1:23" x14ac:dyDescent="0.25">
      <c r="A352" s="40">
        <v>1430008</v>
      </c>
      <c r="B352" s="40" t="s">
        <v>1669</v>
      </c>
      <c r="C352" s="68">
        <v>866</v>
      </c>
      <c r="D352" s="111">
        <v>435</v>
      </c>
      <c r="E352" s="40">
        <v>199000</v>
      </c>
      <c r="K352" s="108">
        <v>0</v>
      </c>
      <c r="L352" s="66">
        <f t="shared" si="10"/>
        <v>1592000</v>
      </c>
      <c r="M352" s="153">
        <f>-PMT('Interface - Substantial impacts'!$I$42,'Interface - Substantial impacts'!$I$40,'DW Facility data'!L352)</f>
        <v>123982.71563709775</v>
      </c>
      <c r="N352" s="169">
        <f t="shared" si="11"/>
        <v>112076.8</v>
      </c>
      <c r="O352" s="85">
        <v>89701</v>
      </c>
      <c r="P352" s="81">
        <v>0</v>
      </c>
      <c r="V352" s="103" t="s">
        <v>2024</v>
      </c>
      <c r="W352" s="68">
        <v>65</v>
      </c>
    </row>
    <row r="353" spans="1:23" x14ac:dyDescent="0.25">
      <c r="A353" s="40">
        <v>1430009</v>
      </c>
      <c r="B353" s="40" t="s">
        <v>1850</v>
      </c>
      <c r="C353" s="68">
        <v>489</v>
      </c>
      <c r="D353" s="111">
        <v>246</v>
      </c>
      <c r="E353" s="40">
        <v>200000</v>
      </c>
      <c r="K353" s="108">
        <v>0</v>
      </c>
      <c r="L353" s="66">
        <f t="shared" si="10"/>
        <v>1600000</v>
      </c>
      <c r="M353" s="153">
        <f>-PMT('Interface - Substantial impacts'!$I$42,'Interface - Substantial impacts'!$I$40,'DW Facility data'!L353)</f>
        <v>124605.7443588922</v>
      </c>
      <c r="N353" s="169">
        <f t="shared" si="11"/>
        <v>112640</v>
      </c>
      <c r="O353" s="85">
        <v>174002</v>
      </c>
      <c r="P353" s="81">
        <v>66900</v>
      </c>
      <c r="V353" s="103" t="s">
        <v>1668</v>
      </c>
      <c r="W353" s="68">
        <v>1894</v>
      </c>
    </row>
    <row r="354" spans="1:23" x14ac:dyDescent="0.25">
      <c r="A354" s="40">
        <v>1430010</v>
      </c>
      <c r="B354" s="40" t="s">
        <v>1781</v>
      </c>
      <c r="C354" s="68">
        <v>2240</v>
      </c>
      <c r="D354" s="112">
        <v>1004</v>
      </c>
      <c r="E354" s="40">
        <v>716000</v>
      </c>
      <c r="F354" s="43">
        <v>8000000</v>
      </c>
      <c r="K354" s="108">
        <v>8000000</v>
      </c>
      <c r="L354" s="66">
        <f t="shared" si="10"/>
        <v>5728000</v>
      </c>
      <c r="M354" s="153">
        <f>-PMT('Interface - Substantial impacts'!$I$42,'Interface - Substantial impacts'!$I$40,'DW Facility data'!L354)</f>
        <v>446088.56480483402</v>
      </c>
      <c r="N354" s="169">
        <f t="shared" si="11"/>
        <v>403251.20000000001</v>
      </c>
      <c r="O354" s="85">
        <v>396110</v>
      </c>
      <c r="P354" s="81">
        <v>118475</v>
      </c>
      <c r="V354" s="103" t="s">
        <v>1093</v>
      </c>
      <c r="W354" s="68">
        <v>805</v>
      </c>
    </row>
    <row r="355" spans="1:23" x14ac:dyDescent="0.25">
      <c r="A355" s="40">
        <v>1440001</v>
      </c>
      <c r="B355" s="40" t="s">
        <v>1872</v>
      </c>
      <c r="C355" s="68">
        <v>84</v>
      </c>
      <c r="D355" s="111">
        <v>44</v>
      </c>
      <c r="E355" s="40">
        <v>20000</v>
      </c>
      <c r="K355" s="108">
        <v>0</v>
      </c>
      <c r="L355" s="66">
        <f t="shared" si="10"/>
        <v>160000</v>
      </c>
      <c r="M355" s="153">
        <f>-PMT('Interface - Substantial impacts'!$I$42,'Interface - Substantial impacts'!$I$40,'DW Facility data'!L355)</f>
        <v>12460.574435889221</v>
      </c>
      <c r="N355" s="169">
        <f t="shared" si="11"/>
        <v>11264</v>
      </c>
      <c r="O355" s="85">
        <v>23891</v>
      </c>
      <c r="P355" s="81">
        <v>0</v>
      </c>
      <c r="V355" s="103" t="s">
        <v>1675</v>
      </c>
      <c r="W355" s="68">
        <v>166</v>
      </c>
    </row>
    <row r="356" spans="1:23" x14ac:dyDescent="0.25">
      <c r="A356" s="40">
        <v>1440002</v>
      </c>
      <c r="B356" s="40" t="s">
        <v>1844</v>
      </c>
      <c r="C356" s="68">
        <v>1240</v>
      </c>
      <c r="D356" s="111">
        <v>546</v>
      </c>
      <c r="E356" s="40">
        <v>250000</v>
      </c>
      <c r="K356" s="108">
        <v>0</v>
      </c>
      <c r="L356" s="66">
        <f t="shared" si="10"/>
        <v>2000000</v>
      </c>
      <c r="M356" s="153">
        <f>-PMT('Interface - Substantial impacts'!$I$42,'Interface - Substantial impacts'!$I$40,'DW Facility data'!L356)</f>
        <v>155757.18044861525</v>
      </c>
      <c r="N356" s="169">
        <f t="shared" si="11"/>
        <v>140800</v>
      </c>
      <c r="O356" s="85">
        <v>332305</v>
      </c>
      <c r="P356" s="81">
        <v>757012</v>
      </c>
      <c r="V356" s="103" t="s">
        <v>1701</v>
      </c>
      <c r="W356" s="68">
        <v>488</v>
      </c>
    </row>
    <row r="357" spans="1:23" x14ac:dyDescent="0.25">
      <c r="A357" s="40">
        <v>1440004</v>
      </c>
      <c r="B357" s="40" t="s">
        <v>1766</v>
      </c>
      <c r="C357" s="68">
        <v>409</v>
      </c>
      <c r="D357" s="111">
        <v>189</v>
      </c>
      <c r="E357" s="40">
        <v>80000</v>
      </c>
      <c r="K357" s="108">
        <v>0</v>
      </c>
      <c r="L357" s="66">
        <f t="shared" si="10"/>
        <v>640000</v>
      </c>
      <c r="M357" s="153">
        <f>-PMT('Interface - Substantial impacts'!$I$42,'Interface - Substantial impacts'!$I$40,'DW Facility data'!L357)</f>
        <v>49842.297743556883</v>
      </c>
      <c r="N357" s="169">
        <f t="shared" si="11"/>
        <v>45056</v>
      </c>
      <c r="O357" s="85">
        <v>55150</v>
      </c>
      <c r="P357" s="81">
        <v>71139</v>
      </c>
      <c r="V357" s="103" t="s">
        <v>1538</v>
      </c>
      <c r="W357" s="68">
        <v>148</v>
      </c>
    </row>
    <row r="358" spans="1:23" x14ac:dyDescent="0.25">
      <c r="A358" s="40">
        <v>1450001</v>
      </c>
      <c r="B358" s="40" t="s">
        <v>983</v>
      </c>
      <c r="C358" s="68">
        <v>388</v>
      </c>
      <c r="D358" s="111">
        <v>175</v>
      </c>
      <c r="E358" s="40">
        <v>70000</v>
      </c>
      <c r="K358" s="108">
        <v>0</v>
      </c>
      <c r="L358" s="66">
        <f t="shared" si="10"/>
        <v>560000</v>
      </c>
      <c r="M358" s="153">
        <f>-PMT('Interface - Substantial impacts'!$I$42,'Interface - Substantial impacts'!$I$40,'DW Facility data'!L358)</f>
        <v>43612.01052561227</v>
      </c>
      <c r="N358" s="169">
        <f t="shared" si="11"/>
        <v>39424</v>
      </c>
      <c r="O358" s="85">
        <v>102177</v>
      </c>
      <c r="P358" s="81">
        <v>90110</v>
      </c>
      <c r="V358" s="103" t="s">
        <v>1630</v>
      </c>
      <c r="W358" s="68">
        <v>799</v>
      </c>
    </row>
    <row r="359" spans="1:23" x14ac:dyDescent="0.25">
      <c r="A359" s="40">
        <v>1450002</v>
      </c>
      <c r="B359" s="40" t="s">
        <v>1767</v>
      </c>
      <c r="C359" s="68">
        <v>544</v>
      </c>
      <c r="D359" s="111">
        <v>327</v>
      </c>
      <c r="E359" s="40">
        <v>190000</v>
      </c>
      <c r="F359" s="43">
        <v>1916000</v>
      </c>
      <c r="K359" s="108">
        <v>1916000</v>
      </c>
      <c r="L359" s="66">
        <f t="shared" si="10"/>
        <v>1520000</v>
      </c>
      <c r="M359" s="153">
        <f>-PMT('Interface - Substantial impacts'!$I$42,'Interface - Substantial impacts'!$I$40,'DW Facility data'!L359)</f>
        <v>118375.45714094759</v>
      </c>
      <c r="N359" s="169">
        <f t="shared" si="11"/>
        <v>107008</v>
      </c>
      <c r="O359" s="85">
        <v>120637</v>
      </c>
      <c r="P359" s="81">
        <v>0</v>
      </c>
      <c r="V359" s="103" t="s">
        <v>1805</v>
      </c>
      <c r="W359" s="68">
        <v>152</v>
      </c>
    </row>
    <row r="360" spans="1:23" x14ac:dyDescent="0.25">
      <c r="A360" s="40">
        <v>1450003</v>
      </c>
      <c r="B360" s="108" t="s">
        <v>1768</v>
      </c>
      <c r="C360" s="68">
        <v>180</v>
      </c>
      <c r="D360" s="111">
        <v>114</v>
      </c>
      <c r="E360" s="40">
        <v>50000</v>
      </c>
      <c r="F360" s="43">
        <v>813750</v>
      </c>
      <c r="K360" s="108">
        <v>813750</v>
      </c>
      <c r="L360" s="66">
        <f t="shared" si="10"/>
        <v>400000</v>
      </c>
      <c r="M360" s="153">
        <f>-PMT('Interface - Substantial impacts'!$I$42,'Interface - Substantial impacts'!$I$40,'DW Facility data'!L360)</f>
        <v>31151.436089723051</v>
      </c>
      <c r="N360" s="169">
        <f t="shared" si="11"/>
        <v>28160</v>
      </c>
      <c r="O360" s="104">
        <v>58763</v>
      </c>
      <c r="P360" s="81">
        <v>0</v>
      </c>
      <c r="V360" s="109"/>
      <c r="W360" s="69"/>
    </row>
    <row r="361" spans="1:23" x14ac:dyDescent="0.25">
      <c r="A361" s="40">
        <v>1450004</v>
      </c>
      <c r="B361" s="109" t="s">
        <v>1973</v>
      </c>
      <c r="C361" s="69"/>
      <c r="D361" s="111"/>
      <c r="E361" s="40">
        <v>120000</v>
      </c>
      <c r="K361" s="108">
        <v>0</v>
      </c>
      <c r="L361" s="66">
        <f t="shared" si="10"/>
        <v>960000</v>
      </c>
      <c r="M361" s="153">
        <f>-PMT('Interface - Substantial impacts'!$I$42,'Interface - Substantial impacts'!$I$40,'DW Facility data'!L361)</f>
        <v>74763.446615335313</v>
      </c>
      <c r="N361" s="169">
        <f t="shared" si="11"/>
        <v>67584</v>
      </c>
      <c r="O361" s="105"/>
      <c r="P361" s="86"/>
      <c r="V361" s="103" t="s">
        <v>2201</v>
      </c>
      <c r="W361" s="68">
        <v>5276</v>
      </c>
    </row>
    <row r="362" spans="1:23" x14ac:dyDescent="0.25">
      <c r="A362" s="40">
        <v>1450005</v>
      </c>
      <c r="B362" s="109" t="s">
        <v>1660</v>
      </c>
      <c r="C362" s="69"/>
      <c r="D362" s="114"/>
      <c r="E362" s="40">
        <v>840000</v>
      </c>
      <c r="K362" s="108">
        <v>0</v>
      </c>
      <c r="L362" s="66">
        <f t="shared" si="10"/>
        <v>6720000</v>
      </c>
      <c r="M362" s="153">
        <f>-PMT('Interface - Substantial impacts'!$I$42,'Interface - Substantial impacts'!$I$40,'DW Facility data'!L362)</f>
        <v>523344.12630734727</v>
      </c>
      <c r="N362" s="169">
        <f t="shared" si="11"/>
        <v>473088</v>
      </c>
      <c r="O362" s="105"/>
      <c r="P362" s="86"/>
      <c r="V362" s="103" t="s">
        <v>1095</v>
      </c>
      <c r="W362" s="68">
        <v>492</v>
      </c>
    </row>
    <row r="363" spans="1:23" x14ac:dyDescent="0.25">
      <c r="A363" s="40">
        <v>1450006</v>
      </c>
      <c r="B363" s="40" t="s">
        <v>1769</v>
      </c>
      <c r="C363" s="68">
        <v>304</v>
      </c>
      <c r="D363" s="111">
        <v>162</v>
      </c>
      <c r="E363" s="40">
        <v>50000</v>
      </c>
      <c r="K363" s="108">
        <v>0</v>
      </c>
      <c r="L363" s="66">
        <f t="shared" si="10"/>
        <v>400000</v>
      </c>
      <c r="M363" s="153">
        <f>-PMT('Interface - Substantial impacts'!$I$42,'Interface - Substantial impacts'!$I$40,'DW Facility data'!L363)</f>
        <v>31151.436089723051</v>
      </c>
      <c r="N363" s="169">
        <f t="shared" si="11"/>
        <v>28160</v>
      </c>
      <c r="O363" s="85">
        <v>118454</v>
      </c>
      <c r="P363" s="81">
        <v>18313</v>
      </c>
      <c r="V363" s="103" t="s">
        <v>1981</v>
      </c>
      <c r="W363" s="68">
        <v>687</v>
      </c>
    </row>
    <row r="364" spans="1:23" x14ac:dyDescent="0.25">
      <c r="A364" s="40">
        <v>1450007</v>
      </c>
      <c r="B364" s="109" t="s">
        <v>1770</v>
      </c>
      <c r="C364" s="68">
        <v>352</v>
      </c>
      <c r="D364" s="113"/>
      <c r="E364" s="40">
        <v>80000</v>
      </c>
      <c r="K364" s="108">
        <v>0</v>
      </c>
      <c r="L364" s="66">
        <f t="shared" si="10"/>
        <v>640000</v>
      </c>
      <c r="M364" s="153">
        <f>-PMT('Interface - Substantial impacts'!$I$42,'Interface - Substantial impacts'!$I$40,'DW Facility data'!L364)</f>
        <v>49842.297743556883</v>
      </c>
      <c r="N364" s="169">
        <f t="shared" si="11"/>
        <v>45056</v>
      </c>
      <c r="O364" s="85">
        <v>59489</v>
      </c>
      <c r="P364" s="81">
        <v>42033</v>
      </c>
      <c r="V364" s="103" t="s">
        <v>1991</v>
      </c>
      <c r="W364" s="68">
        <v>178</v>
      </c>
    </row>
    <row r="365" spans="1:23" x14ac:dyDescent="0.25">
      <c r="A365" s="40">
        <v>1450008</v>
      </c>
      <c r="B365" s="40" t="s">
        <v>1977</v>
      </c>
      <c r="C365" s="68">
        <v>239</v>
      </c>
      <c r="D365" s="111">
        <v>132</v>
      </c>
      <c r="E365" s="40">
        <v>100000</v>
      </c>
      <c r="K365" s="108">
        <v>0</v>
      </c>
      <c r="L365" s="66">
        <f t="shared" si="10"/>
        <v>800000</v>
      </c>
      <c r="M365" s="153">
        <f>-PMT('Interface - Substantial impacts'!$I$42,'Interface - Substantial impacts'!$I$40,'DW Facility data'!L365)</f>
        <v>62302.872179446102</v>
      </c>
      <c r="N365" s="169">
        <f t="shared" si="11"/>
        <v>56320</v>
      </c>
      <c r="O365" s="85">
        <v>239142</v>
      </c>
      <c r="P365" s="81">
        <v>48840</v>
      </c>
      <c r="V365" s="103" t="s">
        <v>1557</v>
      </c>
      <c r="W365" s="68">
        <v>5252</v>
      </c>
    </row>
    <row r="366" spans="1:23" x14ac:dyDescent="0.25">
      <c r="A366" s="40">
        <v>1450009</v>
      </c>
      <c r="B366" s="40" t="s">
        <v>1940</v>
      </c>
      <c r="C366" s="68">
        <v>592</v>
      </c>
      <c r="D366" s="111">
        <v>303</v>
      </c>
      <c r="E366" s="40">
        <v>100000</v>
      </c>
      <c r="K366" s="108">
        <v>0</v>
      </c>
      <c r="L366" s="66">
        <f t="shared" si="10"/>
        <v>800000</v>
      </c>
      <c r="M366" s="153">
        <f>-PMT('Interface - Substantial impacts'!$I$42,'Interface - Substantial impacts'!$I$40,'DW Facility data'!L366)</f>
        <v>62302.872179446102</v>
      </c>
      <c r="N366" s="169">
        <f t="shared" si="11"/>
        <v>56320</v>
      </c>
      <c r="O366" s="85">
        <v>229730</v>
      </c>
      <c r="P366" s="81">
        <v>62139</v>
      </c>
      <c r="V366" s="103" t="s">
        <v>1479</v>
      </c>
      <c r="W366" s="68">
        <v>2539</v>
      </c>
    </row>
    <row r="367" spans="1:23" x14ac:dyDescent="0.25">
      <c r="A367" s="40">
        <v>1450010</v>
      </c>
      <c r="B367" s="109" t="s">
        <v>1612</v>
      </c>
      <c r="C367" s="69"/>
      <c r="D367" s="111">
        <v>61</v>
      </c>
      <c r="E367" s="40">
        <v>10000</v>
      </c>
      <c r="K367" s="108">
        <v>0</v>
      </c>
      <c r="L367" s="66">
        <f t="shared" si="10"/>
        <v>80000</v>
      </c>
      <c r="M367" s="153">
        <f>-PMT('Interface - Substantial impacts'!$I$42,'Interface - Substantial impacts'!$I$40,'DW Facility data'!L367)</f>
        <v>6230.2872179446103</v>
      </c>
      <c r="N367" s="169">
        <f t="shared" si="11"/>
        <v>5632</v>
      </c>
      <c r="O367" s="105"/>
      <c r="P367" s="86"/>
      <c r="V367" s="103" t="s">
        <v>1635</v>
      </c>
      <c r="W367" s="68">
        <v>11335</v>
      </c>
    </row>
    <row r="368" spans="1:23" x14ac:dyDescent="0.25">
      <c r="A368" s="40">
        <v>1450011</v>
      </c>
      <c r="B368" s="40" t="s">
        <v>2022</v>
      </c>
      <c r="C368" s="68">
        <v>79</v>
      </c>
      <c r="D368" s="111">
        <v>67</v>
      </c>
      <c r="E368" s="40">
        <v>18000</v>
      </c>
      <c r="K368" s="108">
        <v>0</v>
      </c>
      <c r="L368" s="66">
        <f t="shared" si="10"/>
        <v>144000</v>
      </c>
      <c r="M368" s="153">
        <f>-PMT('Interface - Substantial impacts'!$I$42,'Interface - Substantial impacts'!$I$40,'DW Facility data'!L368)</f>
        <v>11214.516992300298</v>
      </c>
      <c r="N368" s="169">
        <f t="shared" si="11"/>
        <v>10137.6</v>
      </c>
      <c r="O368" s="85">
        <v>6854</v>
      </c>
      <c r="P368" s="81">
        <v>0</v>
      </c>
      <c r="V368" s="103" t="s">
        <v>1852</v>
      </c>
      <c r="W368" s="68">
        <v>246</v>
      </c>
    </row>
    <row r="369" spans="1:23" x14ac:dyDescent="0.25">
      <c r="A369" s="40">
        <v>1450012</v>
      </c>
      <c r="B369" s="40" t="s">
        <v>1709</v>
      </c>
      <c r="C369" s="68">
        <v>1605</v>
      </c>
      <c r="D369" s="111">
        <v>819</v>
      </c>
      <c r="E369" s="40">
        <v>340000</v>
      </c>
      <c r="K369" s="108">
        <v>0</v>
      </c>
      <c r="L369" s="66">
        <f t="shared" si="10"/>
        <v>2720000</v>
      </c>
      <c r="M369" s="153">
        <f>-PMT('Interface - Substantial impacts'!$I$42,'Interface - Substantial impacts'!$I$40,'DW Facility data'!L369)</f>
        <v>211829.76541011676</v>
      </c>
      <c r="N369" s="169">
        <f t="shared" si="11"/>
        <v>191488</v>
      </c>
      <c r="O369" s="85">
        <v>419568</v>
      </c>
      <c r="P369" s="81">
        <v>171935</v>
      </c>
      <c r="V369" s="103" t="s">
        <v>1469</v>
      </c>
      <c r="W369" s="68">
        <v>728</v>
      </c>
    </row>
    <row r="370" spans="1:23" x14ac:dyDescent="0.25">
      <c r="A370" s="40">
        <v>1450013</v>
      </c>
      <c r="B370" s="40" t="s">
        <v>1984</v>
      </c>
      <c r="C370" s="68">
        <v>90</v>
      </c>
      <c r="D370" s="111">
        <v>25</v>
      </c>
      <c r="E370" s="40">
        <v>10000</v>
      </c>
      <c r="K370" s="108">
        <v>0</v>
      </c>
      <c r="L370" s="66">
        <f t="shared" si="10"/>
        <v>80000</v>
      </c>
      <c r="M370" s="153">
        <f>-PMT('Interface - Substantial impacts'!$I$42,'Interface - Substantial impacts'!$I$40,'DW Facility data'!L370)</f>
        <v>6230.2872179446103</v>
      </c>
      <c r="N370" s="169">
        <f t="shared" si="11"/>
        <v>5632</v>
      </c>
      <c r="O370" s="85">
        <v>1437</v>
      </c>
      <c r="P370" s="81">
        <v>0</v>
      </c>
      <c r="V370" s="103" t="s">
        <v>1535</v>
      </c>
      <c r="W370" s="68">
        <v>254</v>
      </c>
    </row>
    <row r="371" spans="1:23" x14ac:dyDescent="0.25">
      <c r="A371" s="40">
        <v>1460001</v>
      </c>
      <c r="B371" s="40" t="s">
        <v>1503</v>
      </c>
      <c r="C371" s="68">
        <v>303</v>
      </c>
      <c r="D371" s="111">
        <v>175</v>
      </c>
      <c r="E371" s="40">
        <v>133000</v>
      </c>
      <c r="K371" s="108">
        <v>0</v>
      </c>
      <c r="L371" s="66">
        <f t="shared" si="10"/>
        <v>1064000</v>
      </c>
      <c r="M371" s="153">
        <f>-PMT('Interface - Substantial impacts'!$I$42,'Interface - Substantial impacts'!$I$40,'DW Facility data'!L371)</f>
        <v>82862.819998663312</v>
      </c>
      <c r="N371" s="169">
        <f t="shared" si="11"/>
        <v>74905.600000000006</v>
      </c>
      <c r="O371" s="85">
        <v>94034</v>
      </c>
      <c r="P371" s="81">
        <v>0</v>
      </c>
      <c r="V371" s="103" t="s">
        <v>2204</v>
      </c>
      <c r="W371" s="68">
        <v>1710</v>
      </c>
    </row>
    <row r="372" spans="1:23" x14ac:dyDescent="0.25">
      <c r="A372" s="40">
        <v>1460002</v>
      </c>
      <c r="B372" s="108" t="s">
        <v>1568</v>
      </c>
      <c r="C372" s="68">
        <v>133</v>
      </c>
      <c r="D372" s="111">
        <v>142</v>
      </c>
      <c r="E372" s="40">
        <v>30000</v>
      </c>
      <c r="K372" s="108">
        <v>0</v>
      </c>
      <c r="L372" s="66">
        <f t="shared" si="10"/>
        <v>240000</v>
      </c>
      <c r="M372" s="153">
        <f>-PMT('Interface - Substantial impacts'!$I$42,'Interface - Substantial impacts'!$I$40,'DW Facility data'!L372)</f>
        <v>18690.861653833828</v>
      </c>
      <c r="N372" s="169">
        <f t="shared" si="11"/>
        <v>16896</v>
      </c>
      <c r="O372" s="85">
        <v>72568</v>
      </c>
      <c r="P372" s="81">
        <v>0</v>
      </c>
      <c r="V372" s="109"/>
      <c r="W372" s="69"/>
    </row>
    <row r="373" spans="1:23" x14ac:dyDescent="0.25">
      <c r="A373" s="40">
        <v>1460003</v>
      </c>
      <c r="B373" s="40" t="s">
        <v>1051</v>
      </c>
      <c r="C373" s="68">
        <v>10487</v>
      </c>
      <c r="D373" s="112">
        <v>5102</v>
      </c>
      <c r="E373" s="40">
        <v>1811000</v>
      </c>
      <c r="F373" s="43">
        <v>2906250</v>
      </c>
      <c r="K373" s="108">
        <v>2906250</v>
      </c>
      <c r="L373" s="66">
        <f t="shared" si="10"/>
        <v>14488000</v>
      </c>
      <c r="M373" s="153">
        <f>-PMT('Interface - Substantial impacts'!$I$42,'Interface - Substantial impacts'!$I$40,'DW Facility data'!L373)</f>
        <v>1128305.0151697688</v>
      </c>
      <c r="N373" s="169">
        <f t="shared" si="11"/>
        <v>1019955.2000000001</v>
      </c>
      <c r="O373" s="85">
        <v>3163819</v>
      </c>
      <c r="P373" s="81">
        <v>1315871</v>
      </c>
      <c r="V373" s="103" t="s">
        <v>1542</v>
      </c>
      <c r="W373" s="68">
        <v>69490</v>
      </c>
    </row>
    <row r="374" spans="1:23" x14ac:dyDescent="0.25">
      <c r="A374" s="40">
        <v>1460004</v>
      </c>
      <c r="B374" s="40" t="s">
        <v>1504</v>
      </c>
      <c r="C374" s="68">
        <v>291</v>
      </c>
      <c r="D374" s="111">
        <v>134</v>
      </c>
      <c r="E374" s="40">
        <v>58100</v>
      </c>
      <c r="K374" s="108">
        <v>0</v>
      </c>
      <c r="L374" s="66">
        <f t="shared" si="10"/>
        <v>464800</v>
      </c>
      <c r="M374" s="153">
        <f>-PMT('Interface - Substantial impacts'!$I$42,'Interface - Substantial impacts'!$I$40,'DW Facility data'!L374)</f>
        <v>36197.968736258183</v>
      </c>
      <c r="N374" s="169">
        <f t="shared" si="11"/>
        <v>32721.920000000002</v>
      </c>
      <c r="O374" s="85">
        <v>81493</v>
      </c>
      <c r="P374" s="81">
        <v>26028</v>
      </c>
      <c r="V374" s="103" t="s">
        <v>1662</v>
      </c>
      <c r="W374" s="68">
        <v>792</v>
      </c>
    </row>
    <row r="375" spans="1:23" x14ac:dyDescent="0.25">
      <c r="A375" s="40">
        <v>1460006</v>
      </c>
      <c r="B375" s="40" t="s">
        <v>1505</v>
      </c>
      <c r="C375" s="68">
        <v>223</v>
      </c>
      <c r="D375" s="111">
        <v>107</v>
      </c>
      <c r="E375" s="40">
        <v>35000</v>
      </c>
      <c r="K375" s="108">
        <v>0</v>
      </c>
      <c r="L375" s="66">
        <f t="shared" si="10"/>
        <v>280000</v>
      </c>
      <c r="M375" s="153">
        <f>-PMT('Interface - Substantial impacts'!$I$42,'Interface - Substantial impacts'!$I$40,'DW Facility data'!L375)</f>
        <v>21806.005262806135</v>
      </c>
      <c r="N375" s="169">
        <f t="shared" si="11"/>
        <v>19712</v>
      </c>
      <c r="O375" s="85">
        <v>45521</v>
      </c>
      <c r="P375" s="81">
        <v>20227</v>
      </c>
      <c r="V375" s="103" t="s">
        <v>1946</v>
      </c>
      <c r="W375" s="68">
        <v>364</v>
      </c>
    </row>
    <row r="376" spans="1:23" x14ac:dyDescent="0.25">
      <c r="A376" s="40">
        <v>1460007</v>
      </c>
      <c r="B376" s="108" t="s">
        <v>1210</v>
      </c>
      <c r="C376" s="68">
        <v>1058</v>
      </c>
      <c r="D376" s="111">
        <v>512</v>
      </c>
      <c r="E376" s="40">
        <v>280000</v>
      </c>
      <c r="K376" s="108">
        <v>0</v>
      </c>
      <c r="L376" s="66">
        <f t="shared" si="10"/>
        <v>2240000</v>
      </c>
      <c r="M376" s="153">
        <f>-PMT('Interface - Substantial impacts'!$I$42,'Interface - Substantial impacts'!$I$40,'DW Facility data'!L376)</f>
        <v>174448.04210244908</v>
      </c>
      <c r="N376" s="169">
        <f t="shared" si="11"/>
        <v>157696</v>
      </c>
      <c r="O376" s="104">
        <v>0</v>
      </c>
      <c r="P376" s="81">
        <v>0</v>
      </c>
      <c r="V376" s="109"/>
      <c r="W376" s="69"/>
    </row>
    <row r="377" spans="1:23" x14ac:dyDescent="0.25">
      <c r="A377" s="40">
        <v>1460009</v>
      </c>
      <c r="B377" s="108" t="s">
        <v>1224</v>
      </c>
      <c r="C377" s="68">
        <v>705</v>
      </c>
      <c r="D377" s="111">
        <v>336</v>
      </c>
      <c r="E377" s="40">
        <v>102000</v>
      </c>
      <c r="K377" s="108">
        <v>0</v>
      </c>
      <c r="L377" s="66">
        <f t="shared" si="10"/>
        <v>816000</v>
      </c>
      <c r="M377" s="153">
        <f>-PMT('Interface - Substantial impacts'!$I$42,'Interface - Substantial impacts'!$I$40,'DW Facility data'!L377)</f>
        <v>63548.929623035023</v>
      </c>
      <c r="N377" s="169">
        <f t="shared" si="11"/>
        <v>57446.400000000001</v>
      </c>
      <c r="O377" s="104">
        <v>274400</v>
      </c>
      <c r="P377" s="81">
        <v>0</v>
      </c>
      <c r="V377" s="109"/>
      <c r="W377" s="69"/>
    </row>
    <row r="378" spans="1:23" x14ac:dyDescent="0.25">
      <c r="A378" s="40">
        <v>1460010</v>
      </c>
      <c r="B378" s="40" t="s">
        <v>1226</v>
      </c>
      <c r="C378" s="68">
        <v>1092</v>
      </c>
      <c r="D378" s="111">
        <v>526</v>
      </c>
      <c r="E378" s="40">
        <v>275000</v>
      </c>
      <c r="F378" s="43">
        <v>1892900</v>
      </c>
      <c r="K378" s="108">
        <v>1892900</v>
      </c>
      <c r="L378" s="66">
        <f t="shared" si="10"/>
        <v>2200000</v>
      </c>
      <c r="M378" s="153">
        <f>-PMT('Interface - Substantial impacts'!$I$42,'Interface - Substantial impacts'!$I$40,'DW Facility data'!L378)</f>
        <v>171332.89849347676</v>
      </c>
      <c r="N378" s="169">
        <f t="shared" si="11"/>
        <v>154880</v>
      </c>
      <c r="O378" s="85">
        <v>396387</v>
      </c>
      <c r="P378" s="81">
        <v>12872</v>
      </c>
      <c r="V378" s="103" t="s">
        <v>1633</v>
      </c>
      <c r="W378" s="68">
        <v>134</v>
      </c>
    </row>
    <row r="379" spans="1:23" x14ac:dyDescent="0.25">
      <c r="A379" s="40">
        <v>1460011</v>
      </c>
      <c r="B379" s="40" t="s">
        <v>1244</v>
      </c>
      <c r="C379" s="68">
        <v>710</v>
      </c>
      <c r="D379" s="111">
        <v>417</v>
      </c>
      <c r="E379" s="40">
        <v>143000</v>
      </c>
      <c r="K379" s="108">
        <v>0</v>
      </c>
      <c r="L379" s="66">
        <f t="shared" si="10"/>
        <v>1144000</v>
      </c>
      <c r="M379" s="153">
        <f>-PMT('Interface - Substantial impacts'!$I$42,'Interface - Substantial impacts'!$I$40,'DW Facility data'!L379)</f>
        <v>89093.10721660791</v>
      </c>
      <c r="N379" s="169">
        <f t="shared" si="11"/>
        <v>80537.600000000006</v>
      </c>
      <c r="O379" s="85">
        <v>148063</v>
      </c>
      <c r="P379" s="81">
        <v>78587</v>
      </c>
      <c r="V379" s="103" t="s">
        <v>2202</v>
      </c>
      <c r="W379" s="68">
        <v>653</v>
      </c>
    </row>
    <row r="380" spans="1:23" x14ac:dyDescent="0.25">
      <c r="A380" s="40">
        <v>1470002</v>
      </c>
      <c r="B380" s="40" t="s">
        <v>1896</v>
      </c>
      <c r="C380" s="68">
        <v>348</v>
      </c>
      <c r="D380" s="111">
        <v>144</v>
      </c>
      <c r="E380" s="40">
        <v>62000</v>
      </c>
      <c r="K380" s="108">
        <v>0</v>
      </c>
      <c r="L380" s="66">
        <f t="shared" si="10"/>
        <v>496000</v>
      </c>
      <c r="M380" s="153">
        <f>-PMT('Interface - Substantial impacts'!$I$42,'Interface - Substantial impacts'!$I$40,'DW Facility data'!L380)</f>
        <v>38627.780751256585</v>
      </c>
      <c r="N380" s="169">
        <f t="shared" si="11"/>
        <v>34918.400000000001</v>
      </c>
      <c r="O380" s="85">
        <v>79388</v>
      </c>
      <c r="P380" s="81">
        <v>11726</v>
      </c>
      <c r="V380" s="103" t="s">
        <v>2203</v>
      </c>
      <c r="W380" s="68">
        <v>79</v>
      </c>
    </row>
    <row r="381" spans="1:23" x14ac:dyDescent="0.25">
      <c r="A381" s="40">
        <v>1470003</v>
      </c>
      <c r="B381" s="40" t="s">
        <v>1817</v>
      </c>
      <c r="C381" s="68">
        <v>1472</v>
      </c>
      <c r="D381" s="111">
        <v>599</v>
      </c>
      <c r="E381" s="40">
        <v>320700</v>
      </c>
      <c r="K381" s="108">
        <v>0</v>
      </c>
      <c r="L381" s="66">
        <f t="shared" si="10"/>
        <v>2565600</v>
      </c>
      <c r="M381" s="153">
        <f>-PMT('Interface - Substantial impacts'!$I$42,'Interface - Substantial impacts'!$I$40,'DW Facility data'!L381)</f>
        <v>199805.31107948362</v>
      </c>
      <c r="N381" s="169">
        <f t="shared" si="11"/>
        <v>180618.24000000002</v>
      </c>
      <c r="O381" s="85">
        <v>306571</v>
      </c>
      <c r="P381" s="81">
        <v>234055</v>
      </c>
      <c r="V381" s="103" t="s">
        <v>1099</v>
      </c>
      <c r="W381" s="68">
        <v>2517</v>
      </c>
    </row>
    <row r="382" spans="1:23" x14ac:dyDescent="0.25">
      <c r="A382" s="40">
        <v>1470007</v>
      </c>
      <c r="B382" s="108" t="s">
        <v>1069</v>
      </c>
      <c r="C382" s="68">
        <v>624</v>
      </c>
      <c r="D382" s="111">
        <v>332</v>
      </c>
      <c r="E382" s="40">
        <v>109000</v>
      </c>
      <c r="K382" s="108">
        <v>0</v>
      </c>
      <c r="L382" s="66">
        <f t="shared" si="10"/>
        <v>872000</v>
      </c>
      <c r="M382" s="153">
        <f>-PMT('Interface - Substantial impacts'!$I$42,'Interface - Substantial impacts'!$I$40,'DW Facility data'!L382)</f>
        <v>67910.130675596243</v>
      </c>
      <c r="N382" s="169">
        <f t="shared" si="11"/>
        <v>61388.800000000003</v>
      </c>
      <c r="O382" s="104">
        <v>175641</v>
      </c>
      <c r="P382" s="81">
        <v>110542</v>
      </c>
      <c r="V382" s="109"/>
      <c r="W382" s="69"/>
    </row>
    <row r="383" spans="1:23" x14ac:dyDescent="0.25">
      <c r="A383" s="40">
        <v>1470008</v>
      </c>
      <c r="B383" s="40" t="s">
        <v>1105</v>
      </c>
      <c r="C383" s="68">
        <v>6624</v>
      </c>
      <c r="D383" s="112">
        <v>3147</v>
      </c>
      <c r="E383" s="40">
        <v>1491000</v>
      </c>
      <c r="F383" s="43">
        <v>2300000</v>
      </c>
      <c r="K383" s="108">
        <v>2300000</v>
      </c>
      <c r="L383" s="66">
        <f t="shared" si="10"/>
        <v>11928000</v>
      </c>
      <c r="M383" s="153">
        <f>-PMT('Interface - Substantial impacts'!$I$42,'Interface - Substantial impacts'!$I$40,'DW Facility data'!L383)</f>
        <v>928935.82419554133</v>
      </c>
      <c r="N383" s="169">
        <f t="shared" si="11"/>
        <v>839731.20000000007</v>
      </c>
      <c r="O383" s="85">
        <v>684487</v>
      </c>
      <c r="P383" s="81">
        <v>50327</v>
      </c>
      <c r="V383" s="103" t="s">
        <v>1705</v>
      </c>
      <c r="W383" s="68">
        <v>957</v>
      </c>
    </row>
    <row r="384" spans="1:23" x14ac:dyDescent="0.25">
      <c r="A384" s="40">
        <v>1470010</v>
      </c>
      <c r="B384" s="40" t="s">
        <v>1939</v>
      </c>
      <c r="C384" s="68">
        <v>991</v>
      </c>
      <c r="D384" s="111">
        <v>433</v>
      </c>
      <c r="E384" s="40">
        <v>156000</v>
      </c>
      <c r="K384" s="108">
        <v>0</v>
      </c>
      <c r="L384" s="66">
        <f t="shared" si="10"/>
        <v>1248000</v>
      </c>
      <c r="M384" s="153">
        <f>-PMT('Interface - Substantial impacts'!$I$42,'Interface - Substantial impacts'!$I$40,'DW Facility data'!L384)</f>
        <v>97192.480599935923</v>
      </c>
      <c r="N384" s="169">
        <f t="shared" si="11"/>
        <v>87859.200000000012</v>
      </c>
      <c r="O384" s="85">
        <v>120975</v>
      </c>
      <c r="P384" s="81">
        <v>85407</v>
      </c>
      <c r="V384" s="103" t="s">
        <v>1101</v>
      </c>
      <c r="W384" s="68">
        <v>1894</v>
      </c>
    </row>
    <row r="385" spans="1:23" x14ac:dyDescent="0.25">
      <c r="A385" s="40">
        <v>1470011</v>
      </c>
      <c r="B385" s="40" t="s">
        <v>1857</v>
      </c>
      <c r="C385" s="68">
        <v>507</v>
      </c>
      <c r="D385" s="111">
        <v>276</v>
      </c>
      <c r="E385" s="40">
        <v>118600</v>
      </c>
      <c r="K385" s="108">
        <v>0</v>
      </c>
      <c r="L385" s="66">
        <f t="shared" si="10"/>
        <v>948800</v>
      </c>
      <c r="M385" s="153">
        <f>-PMT('Interface - Substantial impacts'!$I$42,'Interface - Substantial impacts'!$I$40,'DW Facility data'!L385)</f>
        <v>73891.206404823082</v>
      </c>
      <c r="N385" s="169">
        <f t="shared" si="11"/>
        <v>66795.520000000004</v>
      </c>
      <c r="O385" s="85">
        <v>178661</v>
      </c>
      <c r="P385" s="81">
        <v>103495</v>
      </c>
      <c r="V385" s="103" t="s">
        <v>1147</v>
      </c>
      <c r="W385" s="68">
        <v>4213</v>
      </c>
    </row>
    <row r="386" spans="1:23" x14ac:dyDescent="0.25">
      <c r="A386" s="40">
        <v>1470012</v>
      </c>
      <c r="B386" s="40" t="s">
        <v>1679</v>
      </c>
      <c r="C386" s="68">
        <v>1027</v>
      </c>
      <c r="D386" s="111">
        <v>436</v>
      </c>
      <c r="E386" s="40">
        <v>294000</v>
      </c>
      <c r="K386" s="108">
        <v>0</v>
      </c>
      <c r="L386" s="66">
        <f t="shared" ref="L386:L449" si="12">E386*8</f>
        <v>2352000</v>
      </c>
      <c r="M386" s="153">
        <f>-PMT('Interface - Substantial impacts'!$I$42,'Interface - Substantial impacts'!$I$40,'DW Facility data'!L386)</f>
        <v>183170.44420757153</v>
      </c>
      <c r="N386" s="169">
        <f t="shared" si="11"/>
        <v>165580.80000000002</v>
      </c>
      <c r="O386" s="85">
        <v>229465</v>
      </c>
      <c r="P386" s="81">
        <v>213005</v>
      </c>
      <c r="V386" s="103" t="s">
        <v>1103</v>
      </c>
      <c r="W386" s="68">
        <v>1533</v>
      </c>
    </row>
    <row r="387" spans="1:23" x14ac:dyDescent="0.25">
      <c r="A387" s="40">
        <v>1480001</v>
      </c>
      <c r="B387" s="40" t="s">
        <v>1900</v>
      </c>
      <c r="C387" s="68">
        <v>803</v>
      </c>
      <c r="D387" s="111">
        <v>531</v>
      </c>
      <c r="E387" s="40">
        <v>142000</v>
      </c>
      <c r="K387" s="108">
        <v>0</v>
      </c>
      <c r="L387" s="66">
        <f t="shared" si="12"/>
        <v>1136000</v>
      </c>
      <c r="M387" s="153">
        <f>-PMT('Interface - Substantial impacts'!$I$42,'Interface - Substantial impacts'!$I$40,'DW Facility data'!L387)</f>
        <v>88470.078494813453</v>
      </c>
      <c r="N387" s="169">
        <f t="shared" ref="N387:N450" si="13">L387*0.0704</f>
        <v>79974.400000000009</v>
      </c>
      <c r="O387" s="85">
        <v>110322</v>
      </c>
      <c r="P387" s="81">
        <v>12917</v>
      </c>
      <c r="V387" s="103" t="s">
        <v>1987</v>
      </c>
      <c r="W387" s="68">
        <v>204</v>
      </c>
    </row>
    <row r="388" spans="1:23" x14ac:dyDescent="0.25">
      <c r="A388" s="40">
        <v>1480002</v>
      </c>
      <c r="B388" s="40" t="s">
        <v>1870</v>
      </c>
      <c r="C388" s="68">
        <v>3021</v>
      </c>
      <c r="D388" s="112">
        <v>1440</v>
      </c>
      <c r="E388" s="40">
        <v>599000</v>
      </c>
      <c r="K388" s="108">
        <v>0</v>
      </c>
      <c r="L388" s="66">
        <f t="shared" si="12"/>
        <v>4792000</v>
      </c>
      <c r="M388" s="153">
        <f>-PMT('Interface - Substantial impacts'!$I$42,'Interface - Substantial impacts'!$I$40,'DW Facility data'!L388)</f>
        <v>373194.20435488212</v>
      </c>
      <c r="N388" s="169">
        <f t="shared" si="13"/>
        <v>337356.80000000005</v>
      </c>
      <c r="O388" s="85">
        <v>536833</v>
      </c>
      <c r="P388" s="81">
        <v>179681</v>
      </c>
      <c r="V388" s="103" t="s">
        <v>1812</v>
      </c>
      <c r="W388" s="68">
        <v>2248</v>
      </c>
    </row>
    <row r="389" spans="1:23" x14ac:dyDescent="0.25">
      <c r="A389" s="40">
        <v>1480003</v>
      </c>
      <c r="B389" s="108" t="s">
        <v>1583</v>
      </c>
      <c r="C389" s="68">
        <v>784</v>
      </c>
      <c r="D389" s="111">
        <v>449</v>
      </c>
      <c r="E389" s="40">
        <v>140000</v>
      </c>
      <c r="F389" s="43">
        <v>3080000</v>
      </c>
      <c r="K389" s="108">
        <v>3080000</v>
      </c>
      <c r="L389" s="66">
        <f t="shared" si="12"/>
        <v>1120000</v>
      </c>
      <c r="M389" s="153">
        <f>-PMT('Interface - Substantial impacts'!$I$42,'Interface - Substantial impacts'!$I$40,'DW Facility data'!L389)</f>
        <v>87224.021051224539</v>
      </c>
      <c r="N389" s="169">
        <f t="shared" si="13"/>
        <v>78848</v>
      </c>
      <c r="O389" s="104">
        <v>186615</v>
      </c>
      <c r="P389" s="81">
        <v>56000</v>
      </c>
      <c r="V389" s="109"/>
      <c r="W389" s="69"/>
    </row>
    <row r="390" spans="1:23" x14ac:dyDescent="0.25">
      <c r="A390" s="40">
        <v>1480008</v>
      </c>
      <c r="B390" s="40" t="s">
        <v>1810</v>
      </c>
      <c r="C390" s="68">
        <v>4819</v>
      </c>
      <c r="D390" s="112">
        <v>2034</v>
      </c>
      <c r="E390" s="40">
        <v>1065000</v>
      </c>
      <c r="K390" s="108">
        <v>0</v>
      </c>
      <c r="L390" s="66">
        <f t="shared" si="12"/>
        <v>8520000</v>
      </c>
      <c r="M390" s="153">
        <f>-PMT('Interface - Substantial impacts'!$I$42,'Interface - Substantial impacts'!$I$40,'DW Facility data'!L390)</f>
        <v>663525.58871110086</v>
      </c>
      <c r="N390" s="169">
        <f t="shared" si="13"/>
        <v>599808</v>
      </c>
      <c r="O390" s="85">
        <v>964391</v>
      </c>
      <c r="P390" s="81">
        <v>515015</v>
      </c>
      <c r="V390" s="103" t="s">
        <v>1636</v>
      </c>
      <c r="W390" s="68">
        <v>4888</v>
      </c>
    </row>
    <row r="391" spans="1:23" x14ac:dyDescent="0.25">
      <c r="A391" s="40">
        <v>1480014</v>
      </c>
      <c r="B391" s="40" t="s">
        <v>1526</v>
      </c>
      <c r="C391" s="68">
        <v>559</v>
      </c>
      <c r="D391" s="111">
        <v>268</v>
      </c>
      <c r="E391" s="40">
        <v>49200</v>
      </c>
      <c r="K391" s="108">
        <v>0</v>
      </c>
      <c r="L391" s="66">
        <f t="shared" si="12"/>
        <v>393600</v>
      </c>
      <c r="M391" s="153">
        <f>-PMT('Interface - Substantial impacts'!$I$42,'Interface - Substantial impacts'!$I$40,'DW Facility data'!L391)</f>
        <v>30653.013112287481</v>
      </c>
      <c r="N391" s="169">
        <f t="shared" si="13"/>
        <v>27709.440000000002</v>
      </c>
      <c r="O391" s="85">
        <v>26498</v>
      </c>
      <c r="P391" s="81">
        <v>0</v>
      </c>
      <c r="V391" s="103" t="s">
        <v>1652</v>
      </c>
      <c r="W391" s="68">
        <v>21399</v>
      </c>
    </row>
    <row r="392" spans="1:23" x14ac:dyDescent="0.25">
      <c r="A392" s="40">
        <v>1480016</v>
      </c>
      <c r="B392" s="40" t="s">
        <v>1772</v>
      </c>
      <c r="C392" s="68">
        <v>78</v>
      </c>
      <c r="D392" s="111">
        <v>45</v>
      </c>
      <c r="E392" s="40">
        <v>10000</v>
      </c>
      <c r="K392" s="108">
        <v>0</v>
      </c>
      <c r="L392" s="66">
        <f t="shared" si="12"/>
        <v>80000</v>
      </c>
      <c r="M392" s="153">
        <f>-PMT('Interface - Substantial impacts'!$I$42,'Interface - Substantial impacts'!$I$40,'DW Facility data'!L392)</f>
        <v>6230.2872179446103</v>
      </c>
      <c r="N392" s="169">
        <f t="shared" si="13"/>
        <v>5632</v>
      </c>
      <c r="O392" s="85">
        <v>7786</v>
      </c>
      <c r="P392" s="81">
        <v>12905</v>
      </c>
      <c r="V392" s="103" t="s">
        <v>1995</v>
      </c>
      <c r="W392" s="68">
        <v>202</v>
      </c>
    </row>
    <row r="393" spans="1:23" x14ac:dyDescent="0.25">
      <c r="A393" s="40">
        <v>1480017</v>
      </c>
      <c r="B393" s="40" t="s">
        <v>1928</v>
      </c>
      <c r="C393" s="68">
        <v>238</v>
      </c>
      <c r="D393" s="111">
        <v>106</v>
      </c>
      <c r="E393" s="40">
        <v>27000</v>
      </c>
      <c r="K393" s="108">
        <v>0</v>
      </c>
      <c r="L393" s="66">
        <f t="shared" si="12"/>
        <v>216000</v>
      </c>
      <c r="M393" s="153">
        <f>-PMT('Interface - Substantial impacts'!$I$42,'Interface - Substantial impacts'!$I$40,'DW Facility data'!L393)</f>
        <v>16821.775488450447</v>
      </c>
      <c r="N393" s="169">
        <f t="shared" si="13"/>
        <v>15206.400000000001</v>
      </c>
      <c r="O393" s="85">
        <v>41014</v>
      </c>
      <c r="P393" s="81">
        <v>3842</v>
      </c>
      <c r="V393" s="103" t="s">
        <v>1105</v>
      </c>
      <c r="W393" s="68">
        <v>6624</v>
      </c>
    </row>
    <row r="394" spans="1:23" x14ac:dyDescent="0.25">
      <c r="A394" s="40">
        <v>1490001</v>
      </c>
      <c r="B394" s="40" t="s">
        <v>1823</v>
      </c>
      <c r="C394" s="68">
        <v>307</v>
      </c>
      <c r="D394" s="111">
        <v>121</v>
      </c>
      <c r="E394" s="40">
        <v>25000</v>
      </c>
      <c r="K394" s="108">
        <v>0</v>
      </c>
      <c r="L394" s="66">
        <f t="shared" si="12"/>
        <v>200000</v>
      </c>
      <c r="M394" s="153">
        <f>-PMT('Interface - Substantial impacts'!$I$42,'Interface - Substantial impacts'!$I$40,'DW Facility data'!L394)</f>
        <v>15575.718044861525</v>
      </c>
      <c r="N394" s="169">
        <f t="shared" si="13"/>
        <v>14080</v>
      </c>
      <c r="O394" s="85">
        <v>20190</v>
      </c>
      <c r="P394" s="81">
        <v>0</v>
      </c>
      <c r="V394" s="103" t="s">
        <v>2036</v>
      </c>
      <c r="W394" s="68">
        <v>10819</v>
      </c>
    </row>
    <row r="395" spans="1:23" x14ac:dyDescent="0.25">
      <c r="A395" s="40">
        <v>1490002</v>
      </c>
      <c r="B395" s="40" t="s">
        <v>1818</v>
      </c>
      <c r="C395" s="68">
        <v>9140</v>
      </c>
      <c r="D395" s="112">
        <v>4007</v>
      </c>
      <c r="E395" s="40">
        <v>1942000</v>
      </c>
      <c r="F395" s="43">
        <v>1400000</v>
      </c>
      <c r="G395" s="43">
        <v>1300000</v>
      </c>
      <c r="H395" s="43">
        <v>280500</v>
      </c>
      <c r="K395" s="108">
        <v>2980500</v>
      </c>
      <c r="L395" s="66">
        <f t="shared" si="12"/>
        <v>15536000</v>
      </c>
      <c r="M395" s="153">
        <f>-PMT('Interface - Substantial impacts'!$I$42,'Interface - Substantial impacts'!$I$40,'DW Facility data'!L395)</f>
        <v>1209921.7777248432</v>
      </c>
      <c r="N395" s="169">
        <f t="shared" si="13"/>
        <v>1093734.4000000001</v>
      </c>
      <c r="O395" s="85">
        <v>1167208</v>
      </c>
      <c r="P395" s="81">
        <v>95500</v>
      </c>
      <c r="V395" s="103" t="s">
        <v>1818</v>
      </c>
      <c r="W395" s="68">
        <v>9140</v>
      </c>
    </row>
    <row r="396" spans="1:23" x14ac:dyDescent="0.25">
      <c r="A396" s="40">
        <v>1490003</v>
      </c>
      <c r="B396" s="40" t="s">
        <v>1143</v>
      </c>
      <c r="C396" s="68">
        <v>680</v>
      </c>
      <c r="D396" s="111">
        <v>376</v>
      </c>
      <c r="E396" s="40">
        <v>592000</v>
      </c>
      <c r="K396" s="108">
        <v>0</v>
      </c>
      <c r="L396" s="66">
        <f t="shared" si="12"/>
        <v>4736000</v>
      </c>
      <c r="M396" s="153">
        <f>-PMT('Interface - Substantial impacts'!$I$42,'Interface - Substantial impacts'!$I$40,'DW Facility data'!L396)</f>
        <v>368833.0033023209</v>
      </c>
      <c r="N396" s="169">
        <f t="shared" si="13"/>
        <v>333414.40000000002</v>
      </c>
      <c r="O396" s="85">
        <v>275866</v>
      </c>
      <c r="P396" s="81">
        <v>305461</v>
      </c>
      <c r="V396" s="103" t="s">
        <v>1107</v>
      </c>
      <c r="W396" s="68">
        <v>553</v>
      </c>
    </row>
    <row r="397" spans="1:23" x14ac:dyDescent="0.25">
      <c r="A397" s="40">
        <v>1490004</v>
      </c>
      <c r="B397" s="109" t="s">
        <v>1590</v>
      </c>
      <c r="C397" s="69"/>
      <c r="D397" s="114"/>
      <c r="E397" s="40">
        <v>310000</v>
      </c>
      <c r="K397" s="108">
        <v>0</v>
      </c>
      <c r="L397" s="66">
        <f t="shared" si="12"/>
        <v>2480000</v>
      </c>
      <c r="M397" s="153">
        <f>-PMT('Interface - Substantial impacts'!$I$42,'Interface - Substantial impacts'!$I$40,'DW Facility data'!L397)</f>
        <v>193138.9037562829</v>
      </c>
      <c r="N397" s="169">
        <f t="shared" si="13"/>
        <v>174592</v>
      </c>
      <c r="O397" s="105"/>
      <c r="P397" s="86"/>
      <c r="V397" s="103" t="s">
        <v>1665</v>
      </c>
      <c r="W397" s="68">
        <v>1741</v>
      </c>
    </row>
    <row r="398" spans="1:23" x14ac:dyDescent="0.25">
      <c r="A398" s="40">
        <v>1490005</v>
      </c>
      <c r="B398" s="40" t="s">
        <v>1824</v>
      </c>
      <c r="C398" s="68">
        <v>607</v>
      </c>
      <c r="D398" s="111">
        <v>270</v>
      </c>
      <c r="E398" s="40">
        <v>120000</v>
      </c>
      <c r="K398" s="108">
        <v>0</v>
      </c>
      <c r="L398" s="66">
        <f t="shared" si="12"/>
        <v>960000</v>
      </c>
      <c r="M398" s="153">
        <f>-PMT('Interface - Substantial impacts'!$I$42,'Interface - Substantial impacts'!$I$40,'DW Facility data'!L398)</f>
        <v>74763.446615335313</v>
      </c>
      <c r="N398" s="169">
        <f t="shared" si="13"/>
        <v>67584</v>
      </c>
      <c r="O398" s="85">
        <v>127152</v>
      </c>
      <c r="P398" s="81">
        <v>77715</v>
      </c>
      <c r="V398" s="103" t="s">
        <v>1109</v>
      </c>
      <c r="W398" s="68">
        <v>3661</v>
      </c>
    </row>
    <row r="399" spans="1:23" x14ac:dyDescent="0.25">
      <c r="A399" s="40">
        <v>1490006</v>
      </c>
      <c r="B399" s="40" t="s">
        <v>1825</v>
      </c>
      <c r="C399" s="68">
        <v>1281</v>
      </c>
      <c r="D399" s="111">
        <v>521</v>
      </c>
      <c r="E399" s="40">
        <v>230000</v>
      </c>
      <c r="K399" s="108">
        <v>0</v>
      </c>
      <c r="L399" s="66">
        <f t="shared" si="12"/>
        <v>1840000</v>
      </c>
      <c r="M399" s="153">
        <f>-PMT('Interface - Substantial impacts'!$I$42,'Interface - Substantial impacts'!$I$40,'DW Facility data'!L399)</f>
        <v>143296.60601272603</v>
      </c>
      <c r="N399" s="169">
        <f t="shared" si="13"/>
        <v>129536.00000000001</v>
      </c>
      <c r="O399" s="85">
        <v>149712</v>
      </c>
      <c r="P399" s="81">
        <v>96681</v>
      </c>
      <c r="V399" s="103" t="s">
        <v>1111</v>
      </c>
      <c r="W399" s="68">
        <v>4686</v>
      </c>
    </row>
    <row r="400" spans="1:23" x14ac:dyDescent="0.25">
      <c r="A400" s="40">
        <v>1490007</v>
      </c>
      <c r="B400" s="40" t="s">
        <v>1727</v>
      </c>
      <c r="C400" s="68">
        <v>326</v>
      </c>
      <c r="D400" s="111">
        <v>135</v>
      </c>
      <c r="E400" s="40">
        <v>55000</v>
      </c>
      <c r="K400" s="108">
        <v>0</v>
      </c>
      <c r="L400" s="66">
        <f t="shared" si="12"/>
        <v>440000</v>
      </c>
      <c r="M400" s="153">
        <f>-PMT('Interface - Substantial impacts'!$I$42,'Interface - Substantial impacts'!$I$40,'DW Facility data'!L400)</f>
        <v>34266.579698695357</v>
      </c>
      <c r="N400" s="169">
        <f t="shared" si="13"/>
        <v>30976.000000000004</v>
      </c>
      <c r="O400" s="85">
        <v>102070</v>
      </c>
      <c r="P400" s="81">
        <v>42003</v>
      </c>
      <c r="V400" s="103" t="s">
        <v>1807</v>
      </c>
      <c r="W400" s="68">
        <v>646</v>
      </c>
    </row>
    <row r="401" spans="1:23" x14ac:dyDescent="0.25">
      <c r="A401" s="40">
        <v>1490008</v>
      </c>
      <c r="B401" s="40" t="s">
        <v>1686</v>
      </c>
      <c r="C401" s="68">
        <v>487</v>
      </c>
      <c r="D401" s="111">
        <v>217</v>
      </c>
      <c r="E401" s="40">
        <v>92000</v>
      </c>
      <c r="F401" s="43">
        <v>480000</v>
      </c>
      <c r="K401" s="108">
        <v>480000</v>
      </c>
      <c r="L401" s="66">
        <f t="shared" si="12"/>
        <v>736000</v>
      </c>
      <c r="M401" s="153">
        <f>-PMT('Interface - Substantial impacts'!$I$42,'Interface - Substantial impacts'!$I$40,'DW Facility data'!L401)</f>
        <v>57318.642405090402</v>
      </c>
      <c r="N401" s="169">
        <f t="shared" si="13"/>
        <v>51814.400000000001</v>
      </c>
      <c r="O401" s="85">
        <v>21839</v>
      </c>
      <c r="P401" s="81">
        <v>33898</v>
      </c>
      <c r="V401" s="103" t="s">
        <v>1915</v>
      </c>
      <c r="W401" s="68">
        <v>334</v>
      </c>
    </row>
    <row r="402" spans="1:23" x14ac:dyDescent="0.25">
      <c r="A402" s="40">
        <v>1490009</v>
      </c>
      <c r="B402" s="40" t="s">
        <v>1826</v>
      </c>
      <c r="C402" s="68">
        <v>279</v>
      </c>
      <c r="D402" s="111">
        <v>128</v>
      </c>
      <c r="E402" s="40">
        <v>55000</v>
      </c>
      <c r="K402" s="108">
        <v>0</v>
      </c>
      <c r="L402" s="66">
        <f t="shared" si="12"/>
        <v>440000</v>
      </c>
      <c r="M402" s="153">
        <f>-PMT('Interface - Substantial impacts'!$I$42,'Interface - Substantial impacts'!$I$40,'DW Facility data'!L402)</f>
        <v>34266.579698695357</v>
      </c>
      <c r="N402" s="169">
        <f t="shared" si="13"/>
        <v>30976.000000000004</v>
      </c>
      <c r="O402" s="85">
        <v>20434</v>
      </c>
      <c r="P402" s="81">
        <v>0</v>
      </c>
      <c r="V402" s="103" t="s">
        <v>1113</v>
      </c>
      <c r="W402" s="68">
        <v>214</v>
      </c>
    </row>
    <row r="403" spans="1:23" x14ac:dyDescent="0.25">
      <c r="A403" s="40">
        <v>1500001</v>
      </c>
      <c r="B403" s="40" t="s">
        <v>971</v>
      </c>
      <c r="C403" s="68">
        <v>683</v>
      </c>
      <c r="D403" s="111">
        <v>419</v>
      </c>
      <c r="E403" s="40">
        <v>157000</v>
      </c>
      <c r="K403" s="108">
        <v>0</v>
      </c>
      <c r="L403" s="66">
        <f t="shared" si="12"/>
        <v>1256000</v>
      </c>
      <c r="M403" s="153">
        <f>-PMT('Interface - Substantial impacts'!$I$42,'Interface - Substantial impacts'!$I$40,'DW Facility data'!L403)</f>
        <v>97815.50932173038</v>
      </c>
      <c r="N403" s="169">
        <f t="shared" si="13"/>
        <v>88422.400000000009</v>
      </c>
      <c r="O403" s="85">
        <v>142953</v>
      </c>
      <c r="P403" s="81">
        <v>0</v>
      </c>
      <c r="Q403" s="103"/>
      <c r="V403" s="103" t="s">
        <v>1115</v>
      </c>
      <c r="W403" s="68">
        <v>4946</v>
      </c>
    </row>
    <row r="404" spans="1:23" x14ac:dyDescent="0.25">
      <c r="A404" s="40">
        <v>1500002</v>
      </c>
      <c r="B404" s="40" t="s">
        <v>1739</v>
      </c>
      <c r="C404" s="68">
        <v>26174</v>
      </c>
      <c r="D404" s="112">
        <v>10949</v>
      </c>
      <c r="E404" s="40">
        <v>8142000</v>
      </c>
      <c r="K404" s="108">
        <v>0</v>
      </c>
      <c r="L404" s="66">
        <f t="shared" si="12"/>
        <v>65136000</v>
      </c>
      <c r="M404" s="153">
        <f>-PMT('Interface - Substantial impacts'!$I$42,'Interface - Substantial impacts'!$I$40,'DW Facility data'!L404)</f>
        <v>5072699.8528505014</v>
      </c>
      <c r="N404" s="169">
        <f t="shared" si="13"/>
        <v>4585574.4000000004</v>
      </c>
      <c r="O404" s="85">
        <v>4704960</v>
      </c>
      <c r="P404" s="81">
        <v>328966</v>
      </c>
      <c r="V404" s="103" t="s">
        <v>1718</v>
      </c>
      <c r="W404" s="68">
        <v>522</v>
      </c>
    </row>
    <row r="405" spans="1:23" x14ac:dyDescent="0.25">
      <c r="A405" s="40">
        <v>1500006</v>
      </c>
      <c r="B405" s="40" t="s">
        <v>1551</v>
      </c>
      <c r="C405" s="68">
        <v>324</v>
      </c>
      <c r="D405" s="111">
        <v>169</v>
      </c>
      <c r="E405" s="40">
        <v>60000</v>
      </c>
      <c r="K405" s="108">
        <v>0</v>
      </c>
      <c r="L405" s="66">
        <f t="shared" si="12"/>
        <v>480000</v>
      </c>
      <c r="M405" s="153">
        <f>-PMT('Interface - Substantial impacts'!$I$42,'Interface - Substantial impacts'!$I$40,'DW Facility data'!L405)</f>
        <v>37381.723307667657</v>
      </c>
      <c r="N405" s="169">
        <f t="shared" si="13"/>
        <v>33792</v>
      </c>
      <c r="O405" s="85">
        <v>26072</v>
      </c>
      <c r="P405" s="81">
        <v>17158</v>
      </c>
      <c r="V405" s="103" t="s">
        <v>1972</v>
      </c>
      <c r="W405" s="68">
        <v>436</v>
      </c>
    </row>
    <row r="406" spans="1:23" x14ac:dyDescent="0.25">
      <c r="A406" s="40">
        <v>1500007</v>
      </c>
      <c r="B406" s="40" t="s">
        <v>1740</v>
      </c>
      <c r="C406" s="68">
        <v>130</v>
      </c>
      <c r="D406" s="111">
        <v>71</v>
      </c>
      <c r="E406" s="40">
        <v>21000</v>
      </c>
      <c r="K406" s="108">
        <v>0</v>
      </c>
      <c r="L406" s="66">
        <f t="shared" si="12"/>
        <v>168000</v>
      </c>
      <c r="M406" s="153">
        <f>-PMT('Interface - Substantial impacts'!$I$42,'Interface - Substantial impacts'!$I$40,'DW Facility data'!L406)</f>
        <v>13083.603157683679</v>
      </c>
      <c r="N406" s="169">
        <f t="shared" si="13"/>
        <v>11827.2</v>
      </c>
      <c r="O406" s="85">
        <v>24383</v>
      </c>
      <c r="P406" s="81">
        <v>20530</v>
      </c>
      <c r="V406" s="103" t="s">
        <v>1117</v>
      </c>
      <c r="W406" s="68">
        <v>716</v>
      </c>
    </row>
    <row r="407" spans="1:23" x14ac:dyDescent="0.25">
      <c r="A407" s="40">
        <v>1500008</v>
      </c>
      <c r="B407" s="40" t="s">
        <v>1745</v>
      </c>
      <c r="C407" s="68">
        <v>1127</v>
      </c>
      <c r="D407" s="111">
        <v>499</v>
      </c>
      <c r="E407" s="40">
        <v>110000</v>
      </c>
      <c r="K407" s="108">
        <v>0</v>
      </c>
      <c r="L407" s="66">
        <f t="shared" si="12"/>
        <v>880000</v>
      </c>
      <c r="M407" s="153">
        <f>-PMT('Interface - Substantial impacts'!$I$42,'Interface - Substantial impacts'!$I$40,'DW Facility data'!L407)</f>
        <v>68533.159397390715</v>
      </c>
      <c r="N407" s="169">
        <f t="shared" si="13"/>
        <v>61952.000000000007</v>
      </c>
      <c r="O407" s="85">
        <v>282455</v>
      </c>
      <c r="P407" s="81">
        <v>63100</v>
      </c>
      <c r="V407" s="103" t="s">
        <v>1119</v>
      </c>
      <c r="W407" s="68">
        <v>2396</v>
      </c>
    </row>
    <row r="408" spans="1:23" x14ac:dyDescent="0.25">
      <c r="A408" s="40">
        <v>1500009</v>
      </c>
      <c r="B408" s="40" t="s">
        <v>1705</v>
      </c>
      <c r="C408" s="68">
        <v>957</v>
      </c>
      <c r="D408" s="111">
        <v>439</v>
      </c>
      <c r="E408" s="40">
        <v>120000</v>
      </c>
      <c r="F408" s="43">
        <v>373001</v>
      </c>
      <c r="K408" s="108">
        <v>373001</v>
      </c>
      <c r="L408" s="66">
        <f t="shared" si="12"/>
        <v>960000</v>
      </c>
      <c r="M408" s="153">
        <f>-PMT('Interface - Substantial impacts'!$I$42,'Interface - Substantial impacts'!$I$40,'DW Facility data'!L408)</f>
        <v>74763.446615335313</v>
      </c>
      <c r="N408" s="169">
        <f t="shared" si="13"/>
        <v>67584</v>
      </c>
      <c r="O408" s="85">
        <v>115757</v>
      </c>
      <c r="P408" s="81">
        <v>0</v>
      </c>
      <c r="V408" s="103" t="s">
        <v>1121</v>
      </c>
      <c r="W408" s="68">
        <v>1518</v>
      </c>
    </row>
    <row r="409" spans="1:23" x14ac:dyDescent="0.25">
      <c r="A409" s="40">
        <v>1500011</v>
      </c>
      <c r="B409" s="40" t="s">
        <v>1718</v>
      </c>
      <c r="C409" s="68">
        <v>522</v>
      </c>
      <c r="D409" s="111">
        <v>217</v>
      </c>
      <c r="E409" s="40">
        <v>130000</v>
      </c>
      <c r="K409" s="108">
        <v>0</v>
      </c>
      <c r="L409" s="66">
        <f t="shared" si="12"/>
        <v>1040000</v>
      </c>
      <c r="M409" s="153">
        <f>-PMT('Interface - Substantial impacts'!$I$42,'Interface - Substantial impacts'!$I$40,'DW Facility data'!L409)</f>
        <v>80993.733833279926</v>
      </c>
      <c r="N409" s="169">
        <f t="shared" si="13"/>
        <v>73216</v>
      </c>
      <c r="O409" s="85">
        <v>101171</v>
      </c>
      <c r="P409" s="81">
        <v>20600</v>
      </c>
      <c r="V409" s="103" t="s">
        <v>1871</v>
      </c>
      <c r="W409" s="68">
        <v>1247</v>
      </c>
    </row>
    <row r="410" spans="1:23" x14ac:dyDescent="0.25">
      <c r="A410" s="40">
        <v>1500012</v>
      </c>
      <c r="B410" s="40" t="s">
        <v>1552</v>
      </c>
      <c r="C410" s="68">
        <v>458</v>
      </c>
      <c r="D410" s="111">
        <v>180</v>
      </c>
      <c r="E410" s="40">
        <v>60000</v>
      </c>
      <c r="K410" s="108">
        <v>0</v>
      </c>
      <c r="L410" s="66">
        <f t="shared" si="12"/>
        <v>480000</v>
      </c>
      <c r="M410" s="153">
        <f>-PMT('Interface - Substantial impacts'!$I$42,'Interface - Substantial impacts'!$I$40,'DW Facility data'!L410)</f>
        <v>37381.723307667657</v>
      </c>
      <c r="N410" s="169">
        <f t="shared" si="13"/>
        <v>33792</v>
      </c>
      <c r="O410" s="85">
        <v>98149</v>
      </c>
      <c r="P410" s="81">
        <v>0</v>
      </c>
      <c r="V410" s="103" t="s">
        <v>1983</v>
      </c>
      <c r="W410" s="68">
        <v>196</v>
      </c>
    </row>
    <row r="411" spans="1:23" x14ac:dyDescent="0.25">
      <c r="A411" s="40">
        <v>1500013</v>
      </c>
      <c r="B411" s="40" t="s">
        <v>1719</v>
      </c>
      <c r="C411" s="68">
        <v>144</v>
      </c>
      <c r="D411" s="111">
        <v>103</v>
      </c>
      <c r="E411" s="40">
        <v>20000</v>
      </c>
      <c r="K411" s="108">
        <v>0</v>
      </c>
      <c r="L411" s="66">
        <f t="shared" si="12"/>
        <v>160000</v>
      </c>
      <c r="M411" s="153">
        <f>-PMT('Interface - Substantial impacts'!$I$42,'Interface - Substantial impacts'!$I$40,'DW Facility data'!L411)</f>
        <v>12460.574435889221</v>
      </c>
      <c r="N411" s="169">
        <f t="shared" si="13"/>
        <v>11264</v>
      </c>
      <c r="O411" s="85">
        <v>85401</v>
      </c>
      <c r="P411" s="81">
        <v>0</v>
      </c>
      <c r="V411" s="103" t="s">
        <v>1844</v>
      </c>
      <c r="W411" s="68">
        <v>1240</v>
      </c>
    </row>
    <row r="412" spans="1:23" x14ac:dyDescent="0.25">
      <c r="A412" s="40">
        <v>1500014</v>
      </c>
      <c r="B412" s="40" t="s">
        <v>1720</v>
      </c>
      <c r="C412" s="68">
        <v>397</v>
      </c>
      <c r="D412" s="111">
        <v>214</v>
      </c>
      <c r="E412" s="40">
        <v>60000</v>
      </c>
      <c r="K412" s="108">
        <v>0</v>
      </c>
      <c r="L412" s="66">
        <f t="shared" si="12"/>
        <v>480000</v>
      </c>
      <c r="M412" s="153">
        <f>-PMT('Interface - Substantial impacts'!$I$42,'Interface - Substantial impacts'!$I$40,'DW Facility data'!L412)</f>
        <v>37381.723307667657</v>
      </c>
      <c r="N412" s="169">
        <f t="shared" si="13"/>
        <v>33792</v>
      </c>
      <c r="O412" s="85">
        <v>33594</v>
      </c>
      <c r="P412" s="81">
        <v>15224</v>
      </c>
      <c r="V412" s="103" t="s">
        <v>1523</v>
      </c>
      <c r="W412" s="68">
        <v>8138</v>
      </c>
    </row>
    <row r="413" spans="1:23" x14ac:dyDescent="0.25">
      <c r="A413" s="40">
        <v>1500015</v>
      </c>
      <c r="B413" s="40" t="s">
        <v>1553</v>
      </c>
      <c r="C413" s="68">
        <v>63</v>
      </c>
      <c r="D413" s="111">
        <v>27</v>
      </c>
      <c r="E413" s="40">
        <v>25000</v>
      </c>
      <c r="K413" s="108">
        <v>0</v>
      </c>
      <c r="L413" s="66">
        <f t="shared" si="12"/>
        <v>200000</v>
      </c>
      <c r="M413" s="153">
        <f>-PMT('Interface - Substantial impacts'!$I$42,'Interface - Substantial impacts'!$I$40,'DW Facility data'!L413)</f>
        <v>15575.718044861525</v>
      </c>
      <c r="N413" s="169">
        <f t="shared" si="13"/>
        <v>14080</v>
      </c>
      <c r="O413" s="85">
        <v>2362</v>
      </c>
      <c r="P413" s="81">
        <v>0</v>
      </c>
      <c r="V413" s="103" t="s">
        <v>2028</v>
      </c>
      <c r="W413" s="68">
        <v>52</v>
      </c>
    </row>
    <row r="414" spans="1:23" x14ac:dyDescent="0.25">
      <c r="A414" s="40">
        <v>1500016</v>
      </c>
      <c r="B414" s="40" t="s">
        <v>1921</v>
      </c>
      <c r="C414" s="68">
        <v>164</v>
      </c>
      <c r="D414" s="111">
        <v>69</v>
      </c>
      <c r="E414" s="40">
        <v>24000</v>
      </c>
      <c r="K414" s="108">
        <v>0</v>
      </c>
      <c r="L414" s="66">
        <f t="shared" si="12"/>
        <v>192000</v>
      </c>
      <c r="M414" s="153">
        <f>-PMT('Interface - Substantial impacts'!$I$42,'Interface - Substantial impacts'!$I$40,'DW Facility data'!L414)</f>
        <v>14952.689323067063</v>
      </c>
      <c r="N414" s="169">
        <f t="shared" si="13"/>
        <v>13516.800000000001</v>
      </c>
      <c r="O414" s="85">
        <v>76959</v>
      </c>
      <c r="P414" s="81">
        <v>23365</v>
      </c>
      <c r="V414" s="103" t="s">
        <v>1480</v>
      </c>
      <c r="W414" s="68">
        <v>44488</v>
      </c>
    </row>
    <row r="415" spans="1:23" x14ac:dyDescent="0.25">
      <c r="A415" s="40">
        <v>1500017</v>
      </c>
      <c r="B415" s="40" t="s">
        <v>1554</v>
      </c>
      <c r="C415" s="68">
        <v>633</v>
      </c>
      <c r="D415" s="111">
        <v>331</v>
      </c>
      <c r="E415" s="40">
        <v>130000</v>
      </c>
      <c r="K415" s="108">
        <v>0</v>
      </c>
      <c r="L415" s="66">
        <f t="shared" si="12"/>
        <v>1040000</v>
      </c>
      <c r="M415" s="153">
        <f>-PMT('Interface - Substantial impacts'!$I$42,'Interface - Substantial impacts'!$I$40,'DW Facility data'!L415)</f>
        <v>80993.733833279926</v>
      </c>
      <c r="N415" s="169">
        <f t="shared" si="13"/>
        <v>73216</v>
      </c>
      <c r="O415" s="85">
        <v>151540</v>
      </c>
      <c r="P415" s="81">
        <v>0</v>
      </c>
      <c r="V415" s="103" t="s">
        <v>1744</v>
      </c>
      <c r="W415" s="68">
        <v>1111</v>
      </c>
    </row>
    <row r="416" spans="1:23" x14ac:dyDescent="0.25">
      <c r="A416" s="40">
        <v>1500022</v>
      </c>
      <c r="B416" s="109" t="s">
        <v>1837</v>
      </c>
      <c r="C416" s="69"/>
      <c r="D416" s="111">
        <v>97</v>
      </c>
      <c r="E416" s="40">
        <v>32000</v>
      </c>
      <c r="K416" s="108">
        <v>0</v>
      </c>
      <c r="L416" s="66">
        <f t="shared" si="12"/>
        <v>256000</v>
      </c>
      <c r="M416" s="153">
        <f>-PMT('Interface - Substantial impacts'!$I$42,'Interface - Substantial impacts'!$I$40,'DW Facility data'!L416)</f>
        <v>19936.919097422749</v>
      </c>
      <c r="N416" s="169">
        <f t="shared" si="13"/>
        <v>18022.400000000001</v>
      </c>
      <c r="O416" s="105"/>
      <c r="P416" s="86"/>
      <c r="V416" s="103" t="s">
        <v>1459</v>
      </c>
      <c r="W416" s="68">
        <v>70253</v>
      </c>
    </row>
    <row r="417" spans="1:23" x14ac:dyDescent="0.25">
      <c r="A417" s="40">
        <v>1510001</v>
      </c>
      <c r="B417" s="40" t="s">
        <v>1908</v>
      </c>
      <c r="C417" s="68">
        <v>111</v>
      </c>
      <c r="D417" s="111">
        <v>77</v>
      </c>
      <c r="E417" s="40">
        <v>0</v>
      </c>
      <c r="K417" s="108">
        <v>0</v>
      </c>
      <c r="L417" s="66">
        <f t="shared" si="12"/>
        <v>0</v>
      </c>
      <c r="M417" s="153">
        <f>-PMT('Interface - Substantial impacts'!$I$42,'Interface - Substantial impacts'!$I$40,'DW Facility data'!L417)</f>
        <v>0</v>
      </c>
      <c r="N417" s="169">
        <f t="shared" si="13"/>
        <v>0</v>
      </c>
      <c r="O417" s="85">
        <v>74754</v>
      </c>
      <c r="P417" s="81">
        <v>24599</v>
      </c>
      <c r="V417" s="103" t="s">
        <v>1659</v>
      </c>
      <c r="W417" s="68">
        <v>2159</v>
      </c>
    </row>
    <row r="418" spans="1:23" x14ac:dyDescent="0.25">
      <c r="A418" s="40">
        <v>1510002</v>
      </c>
      <c r="B418" s="40" t="s">
        <v>1731</v>
      </c>
      <c r="C418" s="68">
        <v>279</v>
      </c>
      <c r="D418" s="111">
        <v>145</v>
      </c>
      <c r="E418" s="40">
        <v>225000</v>
      </c>
      <c r="K418" s="108">
        <v>0</v>
      </c>
      <c r="L418" s="66">
        <f t="shared" si="12"/>
        <v>1800000</v>
      </c>
      <c r="M418" s="153">
        <f>-PMT('Interface - Substantial impacts'!$I$42,'Interface - Substantial impacts'!$I$40,'DW Facility data'!L418)</f>
        <v>140181.46240375371</v>
      </c>
      <c r="N418" s="169">
        <f t="shared" si="13"/>
        <v>126720.00000000001</v>
      </c>
      <c r="O418" s="85">
        <v>57387</v>
      </c>
      <c r="P418" s="81">
        <v>0</v>
      </c>
      <c r="V418" s="103" t="s">
        <v>1854</v>
      </c>
      <c r="W418" s="68">
        <v>1743</v>
      </c>
    </row>
    <row r="419" spans="1:23" x14ac:dyDescent="0.25">
      <c r="A419" s="40">
        <v>1510003</v>
      </c>
      <c r="B419" s="40" t="s">
        <v>1530</v>
      </c>
      <c r="C419" s="68">
        <v>224</v>
      </c>
      <c r="D419" s="111">
        <v>109</v>
      </c>
      <c r="E419" s="40">
        <v>50000</v>
      </c>
      <c r="K419" s="108">
        <v>0</v>
      </c>
      <c r="L419" s="66">
        <f t="shared" si="12"/>
        <v>400000</v>
      </c>
      <c r="M419" s="153">
        <f>-PMT('Interface - Substantial impacts'!$I$42,'Interface - Substantial impacts'!$I$40,'DW Facility data'!L419)</f>
        <v>31151.436089723051</v>
      </c>
      <c r="N419" s="169">
        <f t="shared" si="13"/>
        <v>28160</v>
      </c>
      <c r="O419" s="85">
        <v>63168</v>
      </c>
      <c r="P419" s="81">
        <v>3130</v>
      </c>
      <c r="V419" s="103" t="s">
        <v>1481</v>
      </c>
      <c r="W419" s="68">
        <v>1710</v>
      </c>
    </row>
    <row r="420" spans="1:23" x14ac:dyDescent="0.25">
      <c r="A420" s="40">
        <v>1510005</v>
      </c>
      <c r="B420" s="40" t="s">
        <v>1532</v>
      </c>
      <c r="C420" s="68">
        <v>1371</v>
      </c>
      <c r="D420" s="111">
        <v>613</v>
      </c>
      <c r="E420" s="40">
        <v>251000</v>
      </c>
      <c r="K420" s="108">
        <v>0</v>
      </c>
      <c r="L420" s="66">
        <f t="shared" si="12"/>
        <v>2008000</v>
      </c>
      <c r="M420" s="153">
        <f>-PMT('Interface - Substantial impacts'!$I$42,'Interface - Substantial impacts'!$I$40,'DW Facility data'!L420)</f>
        <v>156380.20917040971</v>
      </c>
      <c r="N420" s="169">
        <f t="shared" si="13"/>
        <v>141363.20000000001</v>
      </c>
      <c r="O420" s="85">
        <v>254243</v>
      </c>
      <c r="P420" s="81">
        <v>0</v>
      </c>
      <c r="V420" s="103" t="s">
        <v>1719</v>
      </c>
      <c r="W420" s="68">
        <v>144</v>
      </c>
    </row>
    <row r="421" spans="1:23" x14ac:dyDescent="0.25">
      <c r="A421" s="40">
        <v>1510006</v>
      </c>
      <c r="B421" s="40" t="s">
        <v>1880</v>
      </c>
      <c r="C421" s="68">
        <v>54</v>
      </c>
      <c r="D421" s="111">
        <v>32</v>
      </c>
      <c r="E421" s="40">
        <v>15000</v>
      </c>
      <c r="K421" s="108">
        <v>0</v>
      </c>
      <c r="L421" s="66">
        <f t="shared" si="12"/>
        <v>120000</v>
      </c>
      <c r="M421" s="153">
        <f>-PMT('Interface - Substantial impacts'!$I$42,'Interface - Substantial impacts'!$I$40,'DW Facility data'!L421)</f>
        <v>9345.4308269169142</v>
      </c>
      <c r="N421" s="169">
        <f t="shared" si="13"/>
        <v>8448</v>
      </c>
      <c r="O421" s="85">
        <v>37933</v>
      </c>
      <c r="P421" s="81">
        <v>17917</v>
      </c>
      <c r="V421" s="103" t="s">
        <v>1788</v>
      </c>
      <c r="W421" s="68">
        <v>610</v>
      </c>
    </row>
    <row r="422" spans="1:23" x14ac:dyDescent="0.25">
      <c r="A422" s="40">
        <v>1510007</v>
      </c>
      <c r="B422" s="108" t="s">
        <v>1617</v>
      </c>
      <c r="C422" s="68">
        <v>166</v>
      </c>
      <c r="D422" s="111">
        <v>82</v>
      </c>
      <c r="E422" s="40">
        <v>60000</v>
      </c>
      <c r="K422" s="108">
        <v>0</v>
      </c>
      <c r="L422" s="66">
        <f t="shared" si="12"/>
        <v>480000</v>
      </c>
      <c r="M422" s="153">
        <f>-PMT('Interface - Substantial impacts'!$I$42,'Interface - Substantial impacts'!$I$40,'DW Facility data'!L422)</f>
        <v>37381.723307667657</v>
      </c>
      <c r="N422" s="169">
        <f t="shared" si="13"/>
        <v>33792</v>
      </c>
      <c r="O422" s="104">
        <v>58290</v>
      </c>
      <c r="P422" s="81">
        <v>0</v>
      </c>
      <c r="V422" s="109"/>
      <c r="W422" s="69"/>
    </row>
    <row r="423" spans="1:23" x14ac:dyDescent="0.25">
      <c r="A423" s="40">
        <v>1510008</v>
      </c>
      <c r="B423" s="108" t="s">
        <v>1535</v>
      </c>
      <c r="C423" s="68">
        <v>254</v>
      </c>
      <c r="D423" s="111">
        <v>136</v>
      </c>
      <c r="E423" s="40">
        <v>70000</v>
      </c>
      <c r="K423" s="108">
        <v>0</v>
      </c>
      <c r="L423" s="66">
        <f t="shared" si="12"/>
        <v>560000</v>
      </c>
      <c r="M423" s="153">
        <f>-PMT('Interface - Substantial impacts'!$I$42,'Interface - Substantial impacts'!$I$40,'DW Facility data'!L423)</f>
        <v>43612.01052561227</v>
      </c>
      <c r="N423" s="169">
        <f t="shared" si="13"/>
        <v>39424</v>
      </c>
      <c r="O423" s="104">
        <v>108430</v>
      </c>
      <c r="P423" s="81">
        <v>0</v>
      </c>
      <c r="V423" s="109"/>
      <c r="W423" s="69"/>
    </row>
    <row r="424" spans="1:23" x14ac:dyDescent="0.25">
      <c r="A424" s="40">
        <v>1510009</v>
      </c>
      <c r="B424" s="108" t="s">
        <v>1653</v>
      </c>
      <c r="C424" s="68">
        <v>2013</v>
      </c>
      <c r="D424" s="112">
        <v>1104</v>
      </c>
      <c r="E424" s="40">
        <v>380000</v>
      </c>
      <c r="K424" s="108">
        <v>0</v>
      </c>
      <c r="L424" s="66">
        <f t="shared" si="12"/>
        <v>3040000</v>
      </c>
      <c r="M424" s="153">
        <f>-PMT('Interface - Substantial impacts'!$I$42,'Interface - Substantial impacts'!$I$40,'DW Facility data'!L424)</f>
        <v>236750.91428189518</v>
      </c>
      <c r="N424" s="169">
        <f t="shared" si="13"/>
        <v>214016</v>
      </c>
      <c r="O424" s="104">
        <v>563410</v>
      </c>
      <c r="P424" s="81">
        <v>0</v>
      </c>
      <c r="V424" s="109"/>
      <c r="W424" s="69"/>
    </row>
    <row r="425" spans="1:23" x14ac:dyDescent="0.25">
      <c r="A425" s="40">
        <v>1510010</v>
      </c>
      <c r="B425" s="40" t="s">
        <v>1959</v>
      </c>
      <c r="C425" s="68">
        <v>58</v>
      </c>
      <c r="D425" s="111">
        <v>40</v>
      </c>
      <c r="E425" s="40">
        <v>0</v>
      </c>
      <c r="K425" s="108">
        <v>0</v>
      </c>
      <c r="L425" s="66">
        <f t="shared" si="12"/>
        <v>0</v>
      </c>
      <c r="M425" s="153">
        <f>-PMT('Interface - Substantial impacts'!$I$42,'Interface - Substantial impacts'!$I$40,'DW Facility data'!L425)</f>
        <v>0</v>
      </c>
      <c r="N425" s="169">
        <f t="shared" si="13"/>
        <v>0</v>
      </c>
      <c r="O425" s="85">
        <v>13741</v>
      </c>
      <c r="P425" s="81">
        <v>0</v>
      </c>
      <c r="V425" s="103" t="s">
        <v>1125</v>
      </c>
      <c r="W425" s="68">
        <v>2453</v>
      </c>
    </row>
    <row r="426" spans="1:23" x14ac:dyDescent="0.25">
      <c r="A426" s="40">
        <v>1520001</v>
      </c>
      <c r="B426" s="40" t="s">
        <v>1506</v>
      </c>
      <c r="C426" s="68">
        <v>734</v>
      </c>
      <c r="D426" s="111">
        <v>315</v>
      </c>
      <c r="E426" s="40">
        <v>122000</v>
      </c>
      <c r="K426" s="108">
        <v>0</v>
      </c>
      <c r="L426" s="66">
        <f t="shared" si="12"/>
        <v>976000</v>
      </c>
      <c r="M426" s="153">
        <f>-PMT('Interface - Substantial impacts'!$I$42,'Interface - Substantial impacts'!$I$40,'DW Facility data'!L426)</f>
        <v>76009.504058924242</v>
      </c>
      <c r="N426" s="169">
        <f t="shared" si="13"/>
        <v>68710.400000000009</v>
      </c>
      <c r="O426" s="85">
        <v>414958</v>
      </c>
      <c r="P426" s="81">
        <v>160638</v>
      </c>
      <c r="V426" s="103" t="s">
        <v>1127</v>
      </c>
      <c r="W426" s="68">
        <v>319</v>
      </c>
    </row>
    <row r="427" spans="1:23" x14ac:dyDescent="0.25">
      <c r="A427" s="40">
        <v>1520002</v>
      </c>
      <c r="B427" s="40" t="s">
        <v>1095</v>
      </c>
      <c r="C427" s="68">
        <v>492</v>
      </c>
      <c r="D427" s="111">
        <v>249</v>
      </c>
      <c r="E427" s="40">
        <v>100000</v>
      </c>
      <c r="K427" s="108">
        <v>0</v>
      </c>
      <c r="L427" s="66">
        <f t="shared" si="12"/>
        <v>800000</v>
      </c>
      <c r="M427" s="153">
        <f>-PMT('Interface - Substantial impacts'!$I$42,'Interface - Substantial impacts'!$I$40,'DW Facility data'!L427)</f>
        <v>62302.872179446102</v>
      </c>
      <c r="N427" s="169">
        <f t="shared" si="13"/>
        <v>56320</v>
      </c>
      <c r="O427" s="85">
        <v>182374</v>
      </c>
      <c r="P427" s="81">
        <v>43236</v>
      </c>
      <c r="V427" s="103" t="s">
        <v>1584</v>
      </c>
      <c r="W427" s="68">
        <v>874</v>
      </c>
    </row>
    <row r="428" spans="1:23" x14ac:dyDescent="0.25">
      <c r="A428" s="40">
        <v>1520004</v>
      </c>
      <c r="B428" s="40" t="s">
        <v>1911</v>
      </c>
      <c r="C428" s="68">
        <v>1143</v>
      </c>
      <c r="D428" s="111">
        <v>395</v>
      </c>
      <c r="E428" s="40">
        <v>175000</v>
      </c>
      <c r="K428" s="108">
        <v>0</v>
      </c>
      <c r="L428" s="66">
        <f t="shared" si="12"/>
        <v>1400000</v>
      </c>
      <c r="M428" s="153">
        <f>-PMT('Interface - Substantial impacts'!$I$42,'Interface - Substantial impacts'!$I$40,'DW Facility data'!L428)</f>
        <v>109030.02631403068</v>
      </c>
      <c r="N428" s="169">
        <f t="shared" si="13"/>
        <v>98560</v>
      </c>
      <c r="O428" s="85">
        <v>252769</v>
      </c>
      <c r="P428" s="81">
        <v>203569</v>
      </c>
      <c r="V428" s="103" t="s">
        <v>1721</v>
      </c>
      <c r="W428" s="68">
        <v>384</v>
      </c>
    </row>
    <row r="429" spans="1:23" x14ac:dyDescent="0.25">
      <c r="A429" s="40">
        <v>1520005</v>
      </c>
      <c r="B429" s="40" t="s">
        <v>1507</v>
      </c>
      <c r="C429" s="68">
        <v>14275</v>
      </c>
      <c r="D429" s="112">
        <v>6064</v>
      </c>
      <c r="E429" s="40">
        <v>2194000</v>
      </c>
      <c r="K429" s="108">
        <v>0</v>
      </c>
      <c r="L429" s="66">
        <f t="shared" si="12"/>
        <v>17552000</v>
      </c>
      <c r="M429" s="153">
        <f>-PMT('Interface - Substantial impacts'!$I$42,'Interface - Substantial impacts'!$I$40,'DW Facility data'!L429)</f>
        <v>1366925.0156170474</v>
      </c>
      <c r="N429" s="169">
        <f t="shared" si="13"/>
        <v>1235660.8</v>
      </c>
      <c r="O429" s="85">
        <v>1649113</v>
      </c>
      <c r="P429" s="81">
        <v>467447</v>
      </c>
      <c r="V429" s="103" t="s">
        <v>1876</v>
      </c>
      <c r="W429" s="68">
        <v>606</v>
      </c>
    </row>
    <row r="430" spans="1:23" x14ac:dyDescent="0.25">
      <c r="A430" s="40">
        <v>1520006</v>
      </c>
      <c r="B430" s="40" t="s">
        <v>1206</v>
      </c>
      <c r="C430" s="68">
        <v>12066</v>
      </c>
      <c r="D430" s="112">
        <v>4170</v>
      </c>
      <c r="E430" s="40">
        <v>2957000</v>
      </c>
      <c r="K430" s="108">
        <v>0</v>
      </c>
      <c r="L430" s="66">
        <f t="shared" si="12"/>
        <v>23656000</v>
      </c>
      <c r="M430" s="153">
        <f>-PMT('Interface - Substantial impacts'!$I$42,'Interface - Substantial impacts'!$I$40,'DW Facility data'!L430)</f>
        <v>1842295.9303462212</v>
      </c>
      <c r="N430" s="169">
        <f t="shared" si="13"/>
        <v>1665382.4000000001</v>
      </c>
      <c r="O430" s="85">
        <v>2881254</v>
      </c>
      <c r="P430" s="81">
        <v>1664756</v>
      </c>
      <c r="V430" s="103" t="s">
        <v>1129</v>
      </c>
      <c r="W430" s="68">
        <v>103</v>
      </c>
    </row>
    <row r="431" spans="1:23" x14ac:dyDescent="0.25">
      <c r="A431" s="40">
        <v>1530001</v>
      </c>
      <c r="B431" s="40" t="s">
        <v>973</v>
      </c>
      <c r="C431" s="68">
        <v>1194</v>
      </c>
      <c r="D431" s="111">
        <v>611</v>
      </c>
      <c r="E431" s="40">
        <v>325000</v>
      </c>
      <c r="K431" s="108">
        <v>0</v>
      </c>
      <c r="L431" s="66">
        <f t="shared" si="12"/>
        <v>2600000</v>
      </c>
      <c r="M431" s="153">
        <f>-PMT('Interface - Substantial impacts'!$I$42,'Interface - Substantial impacts'!$I$40,'DW Facility data'!L431)</f>
        <v>202484.33458319984</v>
      </c>
      <c r="N431" s="169">
        <f t="shared" si="13"/>
        <v>183040</v>
      </c>
      <c r="O431" s="85">
        <v>268344</v>
      </c>
      <c r="P431" s="81">
        <v>0</v>
      </c>
      <c r="Q431" s="103"/>
      <c r="V431" s="103" t="s">
        <v>1629</v>
      </c>
      <c r="W431" s="68">
        <v>134</v>
      </c>
    </row>
    <row r="432" spans="1:23" x14ac:dyDescent="0.25">
      <c r="A432" s="40">
        <v>1530002</v>
      </c>
      <c r="B432" s="40" t="s">
        <v>1962</v>
      </c>
      <c r="C432" s="68">
        <v>227</v>
      </c>
      <c r="D432" s="111">
        <v>101</v>
      </c>
      <c r="E432" s="40">
        <v>109000</v>
      </c>
      <c r="K432" s="108">
        <v>0</v>
      </c>
      <c r="L432" s="66">
        <f t="shared" si="12"/>
        <v>872000</v>
      </c>
      <c r="M432" s="153">
        <f>-PMT('Interface - Substantial impacts'!$I$42,'Interface - Substantial impacts'!$I$40,'DW Facility data'!L432)</f>
        <v>67910.130675596243</v>
      </c>
      <c r="N432" s="169">
        <f t="shared" si="13"/>
        <v>61388.800000000003</v>
      </c>
      <c r="O432" s="85">
        <v>54280</v>
      </c>
      <c r="P432" s="81">
        <v>0</v>
      </c>
      <c r="V432" s="103" t="s">
        <v>1543</v>
      </c>
      <c r="W432" s="68">
        <v>1315</v>
      </c>
    </row>
    <row r="433" spans="1:23" x14ac:dyDescent="0.25">
      <c r="A433" s="40">
        <v>1530003</v>
      </c>
      <c r="B433" s="40" t="s">
        <v>1011</v>
      </c>
      <c r="C433" s="68">
        <v>506</v>
      </c>
      <c r="D433" s="111">
        <v>174</v>
      </c>
      <c r="E433" s="40">
        <v>50000</v>
      </c>
      <c r="K433" s="108">
        <v>0</v>
      </c>
      <c r="L433" s="66">
        <f t="shared" si="12"/>
        <v>400000</v>
      </c>
      <c r="M433" s="153">
        <f>-PMT('Interface - Substantial impacts'!$I$42,'Interface - Substantial impacts'!$I$40,'DW Facility data'!L433)</f>
        <v>31151.436089723051</v>
      </c>
      <c r="N433" s="169">
        <f t="shared" si="13"/>
        <v>28160</v>
      </c>
      <c r="O433" s="85">
        <v>178288</v>
      </c>
      <c r="P433" s="81">
        <v>0</v>
      </c>
      <c r="V433" s="103" t="s">
        <v>1618</v>
      </c>
      <c r="W433" s="68">
        <v>6837</v>
      </c>
    </row>
    <row r="434" spans="1:23" x14ac:dyDescent="0.25">
      <c r="A434" s="40">
        <v>1530004</v>
      </c>
      <c r="B434" s="40" t="s">
        <v>1963</v>
      </c>
      <c r="C434" s="68">
        <v>73</v>
      </c>
      <c r="D434" s="111">
        <v>55</v>
      </c>
      <c r="E434" s="40">
        <v>10000</v>
      </c>
      <c r="K434" s="108">
        <v>0</v>
      </c>
      <c r="L434" s="66">
        <f t="shared" si="12"/>
        <v>80000</v>
      </c>
      <c r="M434" s="153">
        <f>-PMT('Interface - Substantial impacts'!$I$42,'Interface - Substantial impacts'!$I$40,'DW Facility data'!L434)</f>
        <v>6230.2872179446103</v>
      </c>
      <c r="N434" s="169">
        <f t="shared" si="13"/>
        <v>5632</v>
      </c>
      <c r="O434" s="85">
        <v>23535</v>
      </c>
      <c r="P434" s="81">
        <v>10805</v>
      </c>
      <c r="V434" s="103" t="s">
        <v>1133</v>
      </c>
      <c r="W434" s="68">
        <v>3602</v>
      </c>
    </row>
    <row r="435" spans="1:23" x14ac:dyDescent="0.25">
      <c r="A435" s="40">
        <v>1530005</v>
      </c>
      <c r="B435" s="40" t="s">
        <v>1041</v>
      </c>
      <c r="C435" s="68">
        <v>497</v>
      </c>
      <c r="D435" s="111">
        <v>218</v>
      </c>
      <c r="E435" s="40">
        <v>0</v>
      </c>
      <c r="K435" s="108">
        <v>0</v>
      </c>
      <c r="L435" s="66">
        <f t="shared" si="12"/>
        <v>0</v>
      </c>
      <c r="M435" s="153">
        <f>-PMT('Interface - Substantial impacts'!$I$42,'Interface - Substantial impacts'!$I$40,'DW Facility data'!L435)</f>
        <v>0</v>
      </c>
      <c r="N435" s="169">
        <f t="shared" si="13"/>
        <v>0</v>
      </c>
      <c r="O435" s="85">
        <v>131610</v>
      </c>
      <c r="P435" s="81">
        <v>0</v>
      </c>
      <c r="V435" s="103" t="s">
        <v>1564</v>
      </c>
      <c r="W435" s="68">
        <v>1340</v>
      </c>
    </row>
    <row r="436" spans="1:23" x14ac:dyDescent="0.25">
      <c r="A436" s="40">
        <v>1530006</v>
      </c>
      <c r="B436" s="109" t="s">
        <v>1948</v>
      </c>
      <c r="C436" s="69"/>
      <c r="D436" s="111">
        <v>93</v>
      </c>
      <c r="E436" s="40">
        <v>30000</v>
      </c>
      <c r="K436" s="108">
        <v>0</v>
      </c>
      <c r="L436" s="66">
        <f t="shared" si="12"/>
        <v>240000</v>
      </c>
      <c r="M436" s="153">
        <f>-PMT('Interface - Substantial impacts'!$I$42,'Interface - Substantial impacts'!$I$40,'DW Facility data'!L436)</f>
        <v>18690.861653833828</v>
      </c>
      <c r="N436" s="169">
        <f t="shared" si="13"/>
        <v>16896</v>
      </c>
      <c r="O436" s="105"/>
      <c r="P436" s="86"/>
      <c r="V436" s="103" t="s">
        <v>1769</v>
      </c>
      <c r="W436" s="68">
        <v>304</v>
      </c>
    </row>
    <row r="437" spans="1:23" x14ac:dyDescent="0.25">
      <c r="A437" s="40">
        <v>1530007</v>
      </c>
      <c r="B437" s="40" t="s">
        <v>1995</v>
      </c>
      <c r="C437" s="68">
        <v>202</v>
      </c>
      <c r="D437" s="111">
        <v>182</v>
      </c>
      <c r="E437" s="40">
        <v>72000</v>
      </c>
      <c r="K437" s="108">
        <v>0</v>
      </c>
      <c r="L437" s="66">
        <f t="shared" si="12"/>
        <v>576000</v>
      </c>
      <c r="M437" s="153">
        <f>-PMT('Interface - Substantial impacts'!$I$42,'Interface - Substantial impacts'!$I$40,'DW Facility data'!L437)</f>
        <v>44858.067969201191</v>
      </c>
      <c r="N437" s="169">
        <f t="shared" si="13"/>
        <v>40550.400000000001</v>
      </c>
      <c r="O437" s="85">
        <v>92562</v>
      </c>
      <c r="P437" s="81">
        <v>30011</v>
      </c>
      <c r="V437" s="103" t="s">
        <v>1870</v>
      </c>
      <c r="W437" s="68">
        <v>3021</v>
      </c>
    </row>
    <row r="438" spans="1:23" x14ac:dyDescent="0.25">
      <c r="A438" s="40">
        <v>1530008</v>
      </c>
      <c r="B438" s="40" t="s">
        <v>1996</v>
      </c>
      <c r="C438" s="68">
        <v>377</v>
      </c>
      <c r="D438" s="111">
        <v>239</v>
      </c>
      <c r="E438" s="40">
        <v>70000</v>
      </c>
      <c r="K438" s="108">
        <v>0</v>
      </c>
      <c r="L438" s="66">
        <f t="shared" si="12"/>
        <v>560000</v>
      </c>
      <c r="M438" s="153">
        <f>-PMT('Interface - Substantial impacts'!$I$42,'Interface - Substantial impacts'!$I$40,'DW Facility data'!L438)</f>
        <v>43612.01052561227</v>
      </c>
      <c r="N438" s="169">
        <f t="shared" si="13"/>
        <v>39424</v>
      </c>
      <c r="O438" s="85">
        <v>92626</v>
      </c>
      <c r="P438" s="81">
        <v>0</v>
      </c>
      <c r="V438" s="103" t="s">
        <v>1883</v>
      </c>
      <c r="W438" s="68">
        <v>428</v>
      </c>
    </row>
    <row r="439" spans="1:23" x14ac:dyDescent="0.25">
      <c r="A439" s="40">
        <v>1530009</v>
      </c>
      <c r="B439" s="40" t="s">
        <v>1935</v>
      </c>
      <c r="C439" s="68">
        <v>365</v>
      </c>
      <c r="D439" s="111">
        <v>185</v>
      </c>
      <c r="E439" s="40">
        <v>80000</v>
      </c>
      <c r="F439" s="43">
        <v>2473800</v>
      </c>
      <c r="K439" s="108">
        <v>2473800</v>
      </c>
      <c r="L439" s="66">
        <f t="shared" si="12"/>
        <v>640000</v>
      </c>
      <c r="M439" s="153">
        <f>-PMT('Interface - Substantial impacts'!$I$42,'Interface - Substantial impacts'!$I$40,'DW Facility data'!L439)</f>
        <v>49842.297743556883</v>
      </c>
      <c r="N439" s="169">
        <f t="shared" si="13"/>
        <v>45056</v>
      </c>
      <c r="O439" s="85">
        <v>95730</v>
      </c>
      <c r="P439" s="81">
        <v>0</v>
      </c>
      <c r="V439" s="103" t="s">
        <v>1572</v>
      </c>
      <c r="W439" s="68">
        <v>151</v>
      </c>
    </row>
    <row r="440" spans="1:23" x14ac:dyDescent="0.25">
      <c r="A440" s="40">
        <v>1530010</v>
      </c>
      <c r="B440" s="40" t="s">
        <v>2031</v>
      </c>
      <c r="C440" s="68">
        <v>332</v>
      </c>
      <c r="D440" s="111">
        <v>160</v>
      </c>
      <c r="E440" s="40">
        <v>35000</v>
      </c>
      <c r="K440" s="108">
        <v>0</v>
      </c>
      <c r="L440" s="66">
        <f t="shared" si="12"/>
        <v>280000</v>
      </c>
      <c r="M440" s="153">
        <f>-PMT('Interface - Substantial impacts'!$I$42,'Interface - Substantial impacts'!$I$40,'DW Facility data'!L440)</f>
        <v>21806.005262806135</v>
      </c>
      <c r="N440" s="169">
        <f t="shared" si="13"/>
        <v>19712</v>
      </c>
      <c r="O440" s="85">
        <v>84698</v>
      </c>
      <c r="P440" s="81">
        <v>28335</v>
      </c>
      <c r="V440" s="103" t="s">
        <v>1858</v>
      </c>
      <c r="W440" s="68">
        <v>259</v>
      </c>
    </row>
    <row r="441" spans="1:23" x14ac:dyDescent="0.25">
      <c r="A441" s="40">
        <v>1530011</v>
      </c>
      <c r="B441" s="40" t="s">
        <v>1262</v>
      </c>
      <c r="C441" s="68">
        <v>13947</v>
      </c>
      <c r="D441" s="112">
        <v>4860</v>
      </c>
      <c r="E441" s="40">
        <v>3860000</v>
      </c>
      <c r="K441" s="108">
        <v>0</v>
      </c>
      <c r="L441" s="66">
        <f t="shared" si="12"/>
        <v>30880000</v>
      </c>
      <c r="M441" s="153">
        <f>-PMT('Interface - Substantial impacts'!$I$42,'Interface - Substantial impacts'!$I$40,'DW Facility data'!L441)</f>
        <v>2404890.8661266193</v>
      </c>
      <c r="N441" s="169">
        <f t="shared" si="13"/>
        <v>2173952</v>
      </c>
      <c r="O441" s="85">
        <v>2611619</v>
      </c>
      <c r="P441" s="81">
        <v>241356</v>
      </c>
      <c r="V441" s="103" t="s">
        <v>1627</v>
      </c>
      <c r="W441" s="68">
        <v>429954</v>
      </c>
    </row>
    <row r="442" spans="1:23" x14ac:dyDescent="0.25">
      <c r="A442" s="40">
        <v>1530012</v>
      </c>
      <c r="B442" s="109" t="s">
        <v>2021</v>
      </c>
      <c r="C442" s="69"/>
      <c r="D442" s="113"/>
      <c r="E442" s="40">
        <v>0</v>
      </c>
      <c r="K442" s="108">
        <v>0</v>
      </c>
      <c r="L442" s="66">
        <f t="shared" si="12"/>
        <v>0</v>
      </c>
      <c r="M442" s="153">
        <f>-PMT('Interface - Substantial impacts'!$I$42,'Interface - Substantial impacts'!$I$40,'DW Facility data'!L442)</f>
        <v>0</v>
      </c>
      <c r="N442" s="169">
        <f t="shared" si="13"/>
        <v>0</v>
      </c>
      <c r="O442" s="105"/>
      <c r="P442" s="86"/>
      <c r="V442" s="103" t="s">
        <v>1965</v>
      </c>
      <c r="W442" s="68">
        <v>1366</v>
      </c>
    </row>
    <row r="443" spans="1:23" x14ac:dyDescent="0.25">
      <c r="A443" s="40">
        <v>1540001</v>
      </c>
      <c r="B443" s="40" t="s">
        <v>1614</v>
      </c>
      <c r="C443" s="68">
        <v>1740</v>
      </c>
      <c r="D443" s="111">
        <v>893</v>
      </c>
      <c r="E443" s="40">
        <v>650000</v>
      </c>
      <c r="K443" s="108">
        <v>0</v>
      </c>
      <c r="L443" s="66">
        <f t="shared" si="12"/>
        <v>5200000</v>
      </c>
      <c r="M443" s="153">
        <f>-PMT('Interface - Substantial impacts'!$I$42,'Interface - Substantial impacts'!$I$40,'DW Facility data'!L443)</f>
        <v>404968.66916639969</v>
      </c>
      <c r="N443" s="169">
        <f t="shared" si="13"/>
        <v>366080</v>
      </c>
      <c r="O443" s="85">
        <v>609954</v>
      </c>
      <c r="P443" s="81">
        <v>622969</v>
      </c>
      <c r="Q443" s="103"/>
      <c r="V443" s="103" t="s">
        <v>71</v>
      </c>
      <c r="W443" s="68">
        <v>661</v>
      </c>
    </row>
    <row r="444" spans="1:23" x14ac:dyDescent="0.25">
      <c r="A444" s="40">
        <v>1540002</v>
      </c>
      <c r="B444" s="40" t="s">
        <v>1491</v>
      </c>
      <c r="C444" s="68">
        <v>96</v>
      </c>
      <c r="D444" s="111">
        <v>36</v>
      </c>
      <c r="E444" s="40">
        <v>18000</v>
      </c>
      <c r="K444" s="108">
        <v>0</v>
      </c>
      <c r="L444" s="66">
        <f t="shared" si="12"/>
        <v>144000</v>
      </c>
      <c r="M444" s="153">
        <f>-PMT('Interface - Substantial impacts'!$I$42,'Interface - Substantial impacts'!$I$40,'DW Facility data'!L444)</f>
        <v>11214.516992300298</v>
      </c>
      <c r="N444" s="169">
        <f t="shared" si="13"/>
        <v>10137.6</v>
      </c>
      <c r="O444" s="85">
        <v>36443</v>
      </c>
      <c r="P444" s="81">
        <v>2375</v>
      </c>
      <c r="V444" s="103" t="s">
        <v>1460</v>
      </c>
      <c r="W444" s="68">
        <v>53781</v>
      </c>
    </row>
    <row r="445" spans="1:23" x14ac:dyDescent="0.25">
      <c r="A445" s="40">
        <v>1540003</v>
      </c>
      <c r="B445" s="109" t="s">
        <v>1492</v>
      </c>
      <c r="C445" s="69"/>
      <c r="D445" s="111">
        <v>292</v>
      </c>
      <c r="E445" s="40">
        <v>120000</v>
      </c>
      <c r="K445" s="108">
        <v>0</v>
      </c>
      <c r="L445" s="66">
        <f t="shared" si="12"/>
        <v>960000</v>
      </c>
      <c r="M445" s="153">
        <f>-PMT('Interface - Substantial impacts'!$I$42,'Interface - Substantial impacts'!$I$40,'DW Facility data'!L445)</f>
        <v>74763.446615335313</v>
      </c>
      <c r="N445" s="169">
        <f t="shared" si="13"/>
        <v>67584</v>
      </c>
      <c r="O445" s="105"/>
      <c r="P445" s="86"/>
      <c r="V445" s="103" t="s">
        <v>1461</v>
      </c>
      <c r="W445" s="68">
        <v>546</v>
      </c>
    </row>
    <row r="446" spans="1:23" x14ac:dyDescent="0.25">
      <c r="A446" s="40">
        <v>1540004</v>
      </c>
      <c r="B446" s="40" t="s">
        <v>1493</v>
      </c>
      <c r="C446" s="68">
        <v>289</v>
      </c>
      <c r="D446" s="111">
        <v>127</v>
      </c>
      <c r="E446" s="40">
        <v>65000</v>
      </c>
      <c r="K446" s="108">
        <v>0</v>
      </c>
      <c r="L446" s="66">
        <f t="shared" si="12"/>
        <v>520000</v>
      </c>
      <c r="M446" s="153">
        <f>-PMT('Interface - Substantial impacts'!$I$42,'Interface - Substantial impacts'!$I$40,'DW Facility data'!L446)</f>
        <v>40496.866916639963</v>
      </c>
      <c r="N446" s="169">
        <f t="shared" si="13"/>
        <v>36608</v>
      </c>
      <c r="O446" s="85">
        <v>46584</v>
      </c>
      <c r="P446" s="81">
        <v>12330</v>
      </c>
      <c r="V446" s="103" t="s">
        <v>1515</v>
      </c>
      <c r="W446" s="68">
        <v>8262</v>
      </c>
    </row>
    <row r="447" spans="1:23" x14ac:dyDescent="0.25">
      <c r="A447" s="40">
        <v>1540006</v>
      </c>
      <c r="B447" s="40" t="s">
        <v>1494</v>
      </c>
      <c r="C447" s="68">
        <v>113</v>
      </c>
      <c r="D447" s="111">
        <v>48</v>
      </c>
      <c r="E447" s="40">
        <v>20000</v>
      </c>
      <c r="K447" s="108">
        <v>0</v>
      </c>
      <c r="L447" s="66">
        <f t="shared" si="12"/>
        <v>160000</v>
      </c>
      <c r="M447" s="153">
        <f>-PMT('Interface - Substantial impacts'!$I$42,'Interface - Substantial impacts'!$I$40,'DW Facility data'!L447)</f>
        <v>12460.574435889221</v>
      </c>
      <c r="N447" s="169">
        <f t="shared" si="13"/>
        <v>11264</v>
      </c>
      <c r="O447" s="85">
        <v>7503</v>
      </c>
      <c r="P447" s="81">
        <v>0</v>
      </c>
      <c r="V447" s="103" t="s">
        <v>1135</v>
      </c>
      <c r="W447" s="68">
        <v>5398</v>
      </c>
    </row>
    <row r="448" spans="1:23" x14ac:dyDescent="0.25">
      <c r="A448" s="40">
        <v>1540007</v>
      </c>
      <c r="B448" s="40" t="s">
        <v>1902</v>
      </c>
      <c r="C448" s="68">
        <v>179</v>
      </c>
      <c r="D448" s="111">
        <v>116</v>
      </c>
      <c r="E448" s="40">
        <v>50000</v>
      </c>
      <c r="K448" s="108">
        <v>0</v>
      </c>
      <c r="L448" s="66">
        <f t="shared" si="12"/>
        <v>400000</v>
      </c>
      <c r="M448" s="153">
        <f>-PMT('Interface - Substantial impacts'!$I$42,'Interface - Substantial impacts'!$I$40,'DW Facility data'!L448)</f>
        <v>31151.436089723051</v>
      </c>
      <c r="N448" s="169">
        <f t="shared" si="13"/>
        <v>28160</v>
      </c>
      <c r="O448" s="85">
        <v>16137</v>
      </c>
      <c r="P448" s="81">
        <v>7055</v>
      </c>
      <c r="V448" s="103" t="s">
        <v>1137</v>
      </c>
      <c r="W448" s="68">
        <v>3249</v>
      </c>
    </row>
    <row r="449" spans="1:23" x14ac:dyDescent="0.25">
      <c r="A449" s="40">
        <v>1540008</v>
      </c>
      <c r="B449" s="40" t="s">
        <v>1495</v>
      </c>
      <c r="C449" s="68">
        <v>723</v>
      </c>
      <c r="D449" s="111">
        <v>416</v>
      </c>
      <c r="E449" s="40">
        <v>218000</v>
      </c>
      <c r="K449" s="108">
        <v>0</v>
      </c>
      <c r="L449" s="66">
        <f t="shared" si="12"/>
        <v>1744000</v>
      </c>
      <c r="M449" s="153">
        <f>-PMT('Interface - Substantial impacts'!$I$42,'Interface - Substantial impacts'!$I$40,'DW Facility data'!L449)</f>
        <v>135820.26135119249</v>
      </c>
      <c r="N449" s="169">
        <f t="shared" si="13"/>
        <v>122777.60000000001</v>
      </c>
      <c r="O449" s="85">
        <v>195001</v>
      </c>
      <c r="P449" s="81">
        <v>37567</v>
      </c>
      <c r="V449" s="103" t="s">
        <v>1608</v>
      </c>
      <c r="W449" s="68">
        <v>14455</v>
      </c>
    </row>
    <row r="450" spans="1:23" x14ac:dyDescent="0.25">
      <c r="A450" s="40">
        <v>1540010</v>
      </c>
      <c r="B450" s="40" t="s">
        <v>1931</v>
      </c>
      <c r="C450" s="68">
        <v>227</v>
      </c>
      <c r="D450" s="111">
        <v>140</v>
      </c>
      <c r="E450" s="40">
        <v>60000</v>
      </c>
      <c r="K450" s="108">
        <v>0</v>
      </c>
      <c r="L450" s="66">
        <f t="shared" ref="L450:L513" si="14">E450*8</f>
        <v>480000</v>
      </c>
      <c r="M450" s="153">
        <f>-PMT('Interface - Substantial impacts'!$I$42,'Interface - Substantial impacts'!$I$40,'DW Facility data'!L450)</f>
        <v>37381.723307667657</v>
      </c>
      <c r="N450" s="169">
        <f t="shared" si="13"/>
        <v>33792</v>
      </c>
      <c r="O450" s="85">
        <v>258600</v>
      </c>
      <c r="P450" s="81">
        <v>936000</v>
      </c>
      <c r="V450" s="103" t="s">
        <v>1856</v>
      </c>
      <c r="W450" s="68">
        <v>3775</v>
      </c>
    </row>
    <row r="451" spans="1:23" x14ac:dyDescent="0.25">
      <c r="A451" s="40">
        <v>1550001</v>
      </c>
      <c r="B451" s="40" t="s">
        <v>1546</v>
      </c>
      <c r="C451" s="68">
        <v>6312</v>
      </c>
      <c r="D451" s="112">
        <v>2116</v>
      </c>
      <c r="E451" s="40">
        <v>1157000</v>
      </c>
      <c r="K451" s="108">
        <v>0</v>
      </c>
      <c r="L451" s="66">
        <f t="shared" si="14"/>
        <v>9256000</v>
      </c>
      <c r="M451" s="153">
        <f>-PMT('Interface - Substantial impacts'!$I$42,'Interface - Substantial impacts'!$I$40,'DW Facility data'!L451)</f>
        <v>720844.23111619137</v>
      </c>
      <c r="N451" s="169">
        <f t="shared" ref="N451:N514" si="15">L451*0.0704</f>
        <v>651622.40000000002</v>
      </c>
      <c r="O451" s="85">
        <v>647654</v>
      </c>
      <c r="P451" s="81">
        <v>370938</v>
      </c>
      <c r="V451" s="103" t="s">
        <v>1485</v>
      </c>
      <c r="W451" s="68">
        <v>44505</v>
      </c>
    </row>
    <row r="452" spans="1:23" x14ac:dyDescent="0.25">
      <c r="A452" s="40">
        <v>1550004</v>
      </c>
      <c r="B452" s="40" t="s">
        <v>1501</v>
      </c>
      <c r="C452" s="68">
        <v>782</v>
      </c>
      <c r="D452" s="111">
        <v>315</v>
      </c>
      <c r="E452" s="40">
        <v>70000</v>
      </c>
      <c r="K452" s="108">
        <v>0</v>
      </c>
      <c r="L452" s="66">
        <f t="shared" si="14"/>
        <v>560000</v>
      </c>
      <c r="M452" s="153">
        <f>-PMT('Interface - Substantial impacts'!$I$42,'Interface - Substantial impacts'!$I$40,'DW Facility data'!L452)</f>
        <v>43612.01052561227</v>
      </c>
      <c r="N452" s="169">
        <f t="shared" si="15"/>
        <v>39424</v>
      </c>
      <c r="O452" s="85">
        <v>265684</v>
      </c>
      <c r="P452" s="81">
        <v>13997</v>
      </c>
      <c r="V452" s="103" t="s">
        <v>1924</v>
      </c>
      <c r="W452" s="68">
        <v>2789</v>
      </c>
    </row>
    <row r="453" spans="1:23" x14ac:dyDescent="0.25">
      <c r="A453" s="40">
        <v>1550006</v>
      </c>
      <c r="B453" s="40" t="s">
        <v>1502</v>
      </c>
      <c r="C453" s="68">
        <v>2006</v>
      </c>
      <c r="D453" s="111">
        <v>893</v>
      </c>
      <c r="E453" s="40">
        <v>160000</v>
      </c>
      <c r="K453" s="108">
        <v>0</v>
      </c>
      <c r="L453" s="66">
        <f t="shared" si="14"/>
        <v>1280000</v>
      </c>
      <c r="M453" s="153">
        <f>-PMT('Interface - Substantial impacts'!$I$42,'Interface - Substantial impacts'!$I$40,'DW Facility data'!L453)</f>
        <v>99684.595487113766</v>
      </c>
      <c r="N453" s="169">
        <f t="shared" si="15"/>
        <v>90112</v>
      </c>
      <c r="O453" s="85">
        <v>192247</v>
      </c>
      <c r="P453" s="81">
        <v>138209</v>
      </c>
      <c r="V453" s="103" t="s">
        <v>1639</v>
      </c>
      <c r="W453" s="68">
        <v>3665</v>
      </c>
    </row>
    <row r="454" spans="1:23" x14ac:dyDescent="0.25">
      <c r="A454" s="40">
        <v>1550010</v>
      </c>
      <c r="B454" s="40" t="s">
        <v>1194</v>
      </c>
      <c r="C454" s="68">
        <v>121395</v>
      </c>
      <c r="D454" s="112">
        <v>50944</v>
      </c>
      <c r="E454" s="40">
        <v>30200000</v>
      </c>
      <c r="K454" s="108">
        <v>0</v>
      </c>
      <c r="L454" s="66">
        <f t="shared" si="14"/>
        <v>241600000</v>
      </c>
      <c r="M454" s="153">
        <f>-PMT('Interface - Substantial impacts'!$I$42,'Interface - Substantial impacts'!$I$40,'DW Facility data'!L454)</f>
        <v>18815467.398192722</v>
      </c>
      <c r="N454" s="169">
        <f t="shared" si="15"/>
        <v>17008640</v>
      </c>
      <c r="O454" s="85">
        <v>10545699</v>
      </c>
      <c r="P454" s="81">
        <v>0</v>
      </c>
      <c r="V454" s="103" t="s">
        <v>1139</v>
      </c>
      <c r="W454" s="68">
        <v>888</v>
      </c>
    </row>
    <row r="455" spans="1:23" x14ac:dyDescent="0.25">
      <c r="A455" s="40">
        <v>1550026</v>
      </c>
      <c r="B455" s="40" t="s">
        <v>1508</v>
      </c>
      <c r="C455" s="68">
        <v>6687</v>
      </c>
      <c r="D455" s="112">
        <v>2485</v>
      </c>
      <c r="E455" s="40">
        <v>910000</v>
      </c>
      <c r="K455" s="108">
        <v>0</v>
      </c>
      <c r="L455" s="66">
        <f t="shared" si="14"/>
        <v>7280000</v>
      </c>
      <c r="M455" s="153">
        <f>-PMT('Interface - Substantial impacts'!$I$42,'Interface - Substantial impacts'!$I$40,'DW Facility data'!L455)</f>
        <v>566956.13683295948</v>
      </c>
      <c r="N455" s="169">
        <f t="shared" si="15"/>
        <v>512512.00000000006</v>
      </c>
      <c r="O455" s="85">
        <v>585753</v>
      </c>
      <c r="P455" s="81">
        <v>40299</v>
      </c>
      <c r="V455" s="103" t="s">
        <v>1141</v>
      </c>
      <c r="W455" s="68">
        <v>5105</v>
      </c>
    </row>
    <row r="456" spans="1:23" x14ac:dyDescent="0.25">
      <c r="A456" s="40">
        <v>1550036</v>
      </c>
      <c r="B456" s="40" t="s">
        <v>1859</v>
      </c>
      <c r="C456" s="68">
        <v>1802</v>
      </c>
      <c r="D456" s="111">
        <v>517</v>
      </c>
      <c r="E456" s="40">
        <v>280000</v>
      </c>
      <c r="K456" s="108">
        <v>0</v>
      </c>
      <c r="L456" s="66">
        <f t="shared" si="14"/>
        <v>2240000</v>
      </c>
      <c r="M456" s="153">
        <f>-PMT('Interface - Substantial impacts'!$I$42,'Interface - Substantial impacts'!$I$40,'DW Facility data'!L456)</f>
        <v>174448.04210244908</v>
      </c>
      <c r="N456" s="169">
        <f t="shared" si="15"/>
        <v>157696</v>
      </c>
      <c r="O456" s="85">
        <v>225322</v>
      </c>
      <c r="P456" s="81">
        <v>69337</v>
      </c>
      <c r="V456" s="103" t="s">
        <v>1539</v>
      </c>
      <c r="W456" s="68">
        <v>949</v>
      </c>
    </row>
    <row r="457" spans="1:23" x14ac:dyDescent="0.25">
      <c r="A457" s="40">
        <v>1560001</v>
      </c>
      <c r="B457" s="40" t="s">
        <v>1643</v>
      </c>
      <c r="C457" s="68">
        <v>857</v>
      </c>
      <c r="D457" s="111">
        <v>416</v>
      </c>
      <c r="E457" s="40">
        <v>370000</v>
      </c>
      <c r="F457" s="17"/>
      <c r="K457" s="108">
        <v>0</v>
      </c>
      <c r="L457" s="66">
        <f t="shared" si="14"/>
        <v>2960000</v>
      </c>
      <c r="M457" s="153">
        <f>-PMT('Interface - Substantial impacts'!$I$42,'Interface - Substantial impacts'!$I$40,'DW Facility data'!L457)</f>
        <v>230520.62706395058</v>
      </c>
      <c r="N457" s="169">
        <f t="shared" si="15"/>
        <v>208384</v>
      </c>
      <c r="O457" s="85">
        <v>187964</v>
      </c>
      <c r="P457" s="81">
        <v>103065</v>
      </c>
      <c r="V457" s="103" t="s">
        <v>1577</v>
      </c>
      <c r="W457" s="68">
        <v>410</v>
      </c>
    </row>
    <row r="458" spans="1:23" x14ac:dyDescent="0.25">
      <c r="A458" s="40">
        <v>1560007</v>
      </c>
      <c r="B458" s="40" t="s">
        <v>1615</v>
      </c>
      <c r="C458" s="68">
        <v>330</v>
      </c>
      <c r="D458" s="111">
        <v>115</v>
      </c>
      <c r="E458" s="40">
        <v>100000</v>
      </c>
      <c r="K458" s="108">
        <v>0</v>
      </c>
      <c r="L458" s="66">
        <f t="shared" si="14"/>
        <v>800000</v>
      </c>
      <c r="M458" s="153">
        <f>-PMT('Interface - Substantial impacts'!$I$42,'Interface - Substantial impacts'!$I$40,'DW Facility data'!L458)</f>
        <v>62302.872179446102</v>
      </c>
      <c r="N458" s="169">
        <f t="shared" si="15"/>
        <v>56320</v>
      </c>
      <c r="O458" s="85">
        <v>30588</v>
      </c>
      <c r="P458" s="81">
        <v>18875</v>
      </c>
      <c r="V458" s="103" t="s">
        <v>1143</v>
      </c>
      <c r="W458" s="68">
        <v>680</v>
      </c>
    </row>
    <row r="459" spans="1:23" x14ac:dyDescent="0.25">
      <c r="A459" s="40">
        <v>1560008</v>
      </c>
      <c r="B459" s="40" t="s">
        <v>1027</v>
      </c>
      <c r="C459" s="68">
        <v>215</v>
      </c>
      <c r="D459" s="111">
        <v>163</v>
      </c>
      <c r="E459" s="40">
        <v>140000</v>
      </c>
      <c r="K459" s="108">
        <v>0</v>
      </c>
      <c r="L459" s="66">
        <f t="shared" si="14"/>
        <v>1120000</v>
      </c>
      <c r="M459" s="153">
        <f>-PMT('Interface - Substantial impacts'!$I$42,'Interface - Substantial impacts'!$I$40,'DW Facility data'!L459)</f>
        <v>87224.021051224539</v>
      </c>
      <c r="N459" s="169">
        <f t="shared" si="15"/>
        <v>78848</v>
      </c>
      <c r="O459" s="85">
        <v>113529</v>
      </c>
      <c r="P459" s="81">
        <v>33093</v>
      </c>
      <c r="V459" s="103" t="s">
        <v>1808</v>
      </c>
      <c r="W459" s="68">
        <v>9398</v>
      </c>
    </row>
    <row r="460" spans="1:23" x14ac:dyDescent="0.25">
      <c r="A460" s="40">
        <v>1560014</v>
      </c>
      <c r="B460" s="40" t="s">
        <v>1055</v>
      </c>
      <c r="C460" s="68">
        <v>14119</v>
      </c>
      <c r="D460" s="112">
        <v>6994</v>
      </c>
      <c r="E460" s="40">
        <v>4200000</v>
      </c>
      <c r="K460" s="108">
        <v>0</v>
      </c>
      <c r="L460" s="66">
        <f t="shared" si="14"/>
        <v>33600000</v>
      </c>
      <c r="M460" s="153">
        <f>-PMT('Interface - Substantial impacts'!$I$42,'Interface - Substantial impacts'!$I$40,'DW Facility data'!L460)</f>
        <v>2616720.6315367362</v>
      </c>
      <c r="N460" s="169">
        <f t="shared" si="15"/>
        <v>2365440</v>
      </c>
      <c r="O460" s="85">
        <v>1656913</v>
      </c>
      <c r="P460" s="81">
        <v>1206968</v>
      </c>
      <c r="V460" s="103" t="s">
        <v>1472</v>
      </c>
      <c r="W460" s="68">
        <v>13249</v>
      </c>
    </row>
    <row r="461" spans="1:23" x14ac:dyDescent="0.25">
      <c r="A461" s="40">
        <v>1560016</v>
      </c>
      <c r="B461" s="40" t="s">
        <v>1683</v>
      </c>
      <c r="C461" s="68">
        <v>854</v>
      </c>
      <c r="D461" s="111">
        <v>419</v>
      </c>
      <c r="E461" s="40">
        <v>250000</v>
      </c>
      <c r="K461" s="108">
        <v>0</v>
      </c>
      <c r="L461" s="66">
        <f t="shared" si="14"/>
        <v>2000000</v>
      </c>
      <c r="M461" s="153">
        <f>-PMT('Interface - Substantial impacts'!$I$42,'Interface - Substantial impacts'!$I$40,'DW Facility data'!L461)</f>
        <v>155757.18044861525</v>
      </c>
      <c r="N461" s="169">
        <f t="shared" si="15"/>
        <v>140800</v>
      </c>
      <c r="O461" s="85">
        <v>264579</v>
      </c>
      <c r="P461" s="81">
        <v>126311</v>
      </c>
      <c r="V461" s="103" t="s">
        <v>1752</v>
      </c>
      <c r="W461" s="68">
        <v>2878</v>
      </c>
    </row>
    <row r="462" spans="1:23" x14ac:dyDescent="0.25">
      <c r="A462" s="40">
        <v>1560017</v>
      </c>
      <c r="B462" s="40" t="s">
        <v>1496</v>
      </c>
      <c r="C462" s="68">
        <v>1294</v>
      </c>
      <c r="D462" s="111">
        <v>619</v>
      </c>
      <c r="E462" s="40">
        <v>220000</v>
      </c>
      <c r="K462" s="108">
        <v>0</v>
      </c>
      <c r="L462" s="66">
        <f t="shared" si="14"/>
        <v>1760000</v>
      </c>
      <c r="M462" s="153">
        <f>-PMT('Interface - Substantial impacts'!$I$42,'Interface - Substantial impacts'!$I$40,'DW Facility data'!L462)</f>
        <v>137066.31879478143</v>
      </c>
      <c r="N462" s="169">
        <f t="shared" si="15"/>
        <v>123904.00000000001</v>
      </c>
      <c r="O462" s="85">
        <v>288999</v>
      </c>
      <c r="P462" s="81">
        <v>159974</v>
      </c>
      <c r="V462" s="103" t="s">
        <v>1145</v>
      </c>
      <c r="W462" s="68">
        <v>1999</v>
      </c>
    </row>
    <row r="463" spans="1:23" x14ac:dyDescent="0.25">
      <c r="A463" s="40">
        <v>1560018</v>
      </c>
      <c r="B463" s="40" t="s">
        <v>1497</v>
      </c>
      <c r="C463" s="68">
        <v>1020</v>
      </c>
      <c r="D463" s="111">
        <v>464</v>
      </c>
      <c r="E463" s="40">
        <v>260000</v>
      </c>
      <c r="K463" s="108">
        <v>0</v>
      </c>
      <c r="L463" s="66">
        <f t="shared" si="14"/>
        <v>2080000</v>
      </c>
      <c r="M463" s="153">
        <f>-PMT('Interface - Substantial impacts'!$I$42,'Interface - Substantial impacts'!$I$40,'DW Facility data'!L463)</f>
        <v>161987.46766655985</v>
      </c>
      <c r="N463" s="169">
        <f t="shared" si="15"/>
        <v>146432</v>
      </c>
      <c r="O463" s="85">
        <v>227763</v>
      </c>
      <c r="P463" s="81">
        <v>161148</v>
      </c>
      <c r="V463" s="103" t="s">
        <v>1596</v>
      </c>
      <c r="W463" s="68">
        <v>306</v>
      </c>
    </row>
    <row r="464" spans="1:23" x14ac:dyDescent="0.25">
      <c r="A464" s="40">
        <v>1560019</v>
      </c>
      <c r="B464" s="40" t="s">
        <v>1169</v>
      </c>
      <c r="C464" s="68">
        <v>2577</v>
      </c>
      <c r="D464" s="111">
        <v>991</v>
      </c>
      <c r="E464" s="40">
        <v>846000</v>
      </c>
      <c r="K464" s="108">
        <v>0</v>
      </c>
      <c r="L464" s="66">
        <f t="shared" si="14"/>
        <v>6768000</v>
      </c>
      <c r="M464" s="153">
        <f>-PMT('Interface - Substantial impacts'!$I$42,'Interface - Substantial impacts'!$I$40,'DW Facility data'!L464)</f>
        <v>527082.29863811401</v>
      </c>
      <c r="N464" s="169">
        <f t="shared" si="15"/>
        <v>476467.20000000001</v>
      </c>
      <c r="O464" s="85">
        <v>440697</v>
      </c>
      <c r="P464" s="81">
        <v>148212</v>
      </c>
      <c r="V464" s="103" t="s">
        <v>1956</v>
      </c>
      <c r="W464" s="68">
        <v>47</v>
      </c>
    </row>
    <row r="465" spans="1:23" x14ac:dyDescent="0.25">
      <c r="A465" s="40">
        <v>1560023</v>
      </c>
      <c r="B465" s="40" t="s">
        <v>1498</v>
      </c>
      <c r="C465" s="68">
        <v>3512</v>
      </c>
      <c r="D465" s="112">
        <v>1618</v>
      </c>
      <c r="E465" s="40">
        <v>2200000</v>
      </c>
      <c r="K465" s="108">
        <v>0</v>
      </c>
      <c r="L465" s="66">
        <f t="shared" si="14"/>
        <v>17600000</v>
      </c>
      <c r="M465" s="153">
        <f>-PMT('Interface - Substantial impacts'!$I$42,'Interface - Substantial impacts'!$I$40,'DW Facility data'!L465)</f>
        <v>1370663.1879478141</v>
      </c>
      <c r="N465" s="169">
        <f t="shared" si="15"/>
        <v>1239040</v>
      </c>
      <c r="O465" s="85">
        <v>532203</v>
      </c>
      <c r="P465" s="81">
        <v>162249</v>
      </c>
      <c r="V465" s="103" t="s">
        <v>1773</v>
      </c>
      <c r="W465" s="68">
        <v>970</v>
      </c>
    </row>
    <row r="466" spans="1:23" x14ac:dyDescent="0.25">
      <c r="A466" s="40">
        <v>1560026</v>
      </c>
      <c r="B466" s="108" t="s">
        <v>1702</v>
      </c>
      <c r="C466" s="68">
        <v>356</v>
      </c>
      <c r="D466" s="111">
        <v>188</v>
      </c>
      <c r="E466" s="40">
        <v>104000</v>
      </c>
      <c r="F466" s="43">
        <v>2500000</v>
      </c>
      <c r="K466" s="108">
        <v>2500000</v>
      </c>
      <c r="L466" s="66">
        <f t="shared" si="14"/>
        <v>832000</v>
      </c>
      <c r="M466" s="153">
        <f>-PMT('Interface - Substantial impacts'!$I$42,'Interface - Substantial impacts'!$I$40,'DW Facility data'!L466)</f>
        <v>64794.987066623937</v>
      </c>
      <c r="N466" s="169">
        <f t="shared" si="15"/>
        <v>58572.800000000003</v>
      </c>
      <c r="O466" s="104">
        <v>128457</v>
      </c>
      <c r="P466" s="81">
        <v>52766</v>
      </c>
      <c r="V466" s="109"/>
      <c r="W466" s="69"/>
    </row>
    <row r="467" spans="1:23" x14ac:dyDescent="0.25">
      <c r="A467" s="40">
        <v>1560028</v>
      </c>
      <c r="B467" s="40" t="s">
        <v>1862</v>
      </c>
      <c r="C467" s="68">
        <v>168</v>
      </c>
      <c r="D467" s="111">
        <v>64</v>
      </c>
      <c r="E467" s="40">
        <v>100000</v>
      </c>
      <c r="F467" s="43">
        <v>250000</v>
      </c>
      <c r="K467" s="108">
        <v>250000</v>
      </c>
      <c r="L467" s="66">
        <f t="shared" si="14"/>
        <v>800000</v>
      </c>
      <c r="M467" s="153">
        <f>-PMT('Interface - Substantial impacts'!$I$42,'Interface - Substantial impacts'!$I$40,'DW Facility data'!L467)</f>
        <v>62302.872179446102</v>
      </c>
      <c r="N467" s="169">
        <f t="shared" si="15"/>
        <v>56320</v>
      </c>
      <c r="O467" s="85">
        <v>61555</v>
      </c>
      <c r="P467" s="81">
        <v>37373</v>
      </c>
      <c r="V467" s="103" t="s">
        <v>1149</v>
      </c>
      <c r="W467" s="68">
        <v>273</v>
      </c>
    </row>
    <row r="468" spans="1:23" x14ac:dyDescent="0.25">
      <c r="A468" s="40">
        <v>1560029</v>
      </c>
      <c r="B468" s="40" t="s">
        <v>1620</v>
      </c>
      <c r="C468" s="68">
        <v>348</v>
      </c>
      <c r="D468" s="111">
        <v>192</v>
      </c>
      <c r="E468" s="40">
        <v>0</v>
      </c>
      <c r="K468" s="108">
        <v>0</v>
      </c>
      <c r="L468" s="66">
        <f t="shared" si="14"/>
        <v>0</v>
      </c>
      <c r="M468" s="153">
        <f>-PMT('Interface - Substantial impacts'!$I$42,'Interface - Substantial impacts'!$I$40,'DW Facility data'!L468)</f>
        <v>0</v>
      </c>
      <c r="N468" s="169">
        <f t="shared" si="15"/>
        <v>0</v>
      </c>
      <c r="O468" s="85">
        <v>108732</v>
      </c>
      <c r="P468" s="81">
        <v>18478</v>
      </c>
      <c r="V468" s="103" t="s">
        <v>1743</v>
      </c>
      <c r="W468" s="68">
        <v>377</v>
      </c>
    </row>
    <row r="469" spans="1:23" x14ac:dyDescent="0.25">
      <c r="A469" s="40">
        <v>1560032</v>
      </c>
      <c r="B469" s="40" t="s">
        <v>2003</v>
      </c>
      <c r="C469" s="68">
        <v>629</v>
      </c>
      <c r="D469" s="111">
        <v>360</v>
      </c>
      <c r="E469" s="40">
        <v>0</v>
      </c>
      <c r="K469" s="108">
        <v>0</v>
      </c>
      <c r="L469" s="66">
        <f t="shared" si="14"/>
        <v>0</v>
      </c>
      <c r="M469" s="153">
        <f>-PMT('Interface - Substantial impacts'!$I$42,'Interface - Substantial impacts'!$I$40,'DW Facility data'!L469)</f>
        <v>0</v>
      </c>
      <c r="N469" s="169">
        <f t="shared" si="15"/>
        <v>0</v>
      </c>
      <c r="O469" s="85">
        <v>228199</v>
      </c>
      <c r="P469" s="81">
        <v>868995</v>
      </c>
      <c r="V469" s="103" t="s">
        <v>1863</v>
      </c>
      <c r="W469" s="68">
        <v>411</v>
      </c>
    </row>
    <row r="470" spans="1:23" x14ac:dyDescent="0.25">
      <c r="A470" s="40">
        <v>1570001</v>
      </c>
      <c r="B470" s="40" t="s">
        <v>1688</v>
      </c>
      <c r="C470" s="68">
        <v>112</v>
      </c>
      <c r="D470" s="111">
        <v>70</v>
      </c>
      <c r="E470" s="40">
        <v>15000</v>
      </c>
      <c r="K470" s="108">
        <v>0</v>
      </c>
      <c r="L470" s="66">
        <f t="shared" si="14"/>
        <v>120000</v>
      </c>
      <c r="M470" s="153">
        <f>-PMT('Interface - Substantial impacts'!$I$42,'Interface - Substantial impacts'!$I$40,'DW Facility data'!L470)</f>
        <v>9345.4308269169142</v>
      </c>
      <c r="N470" s="169">
        <f t="shared" si="15"/>
        <v>8448</v>
      </c>
      <c r="O470" s="85">
        <v>24534</v>
      </c>
      <c r="P470" s="81">
        <v>9296</v>
      </c>
      <c r="V470" s="103" t="s">
        <v>1473</v>
      </c>
      <c r="W470" s="68">
        <v>23454</v>
      </c>
    </row>
    <row r="471" spans="1:23" x14ac:dyDescent="0.25">
      <c r="A471" s="40">
        <v>1570002</v>
      </c>
      <c r="B471" s="40" t="s">
        <v>1710</v>
      </c>
      <c r="C471" s="68">
        <v>273</v>
      </c>
      <c r="D471" s="111">
        <v>102</v>
      </c>
      <c r="E471" s="40">
        <v>50000</v>
      </c>
      <c r="K471" s="108">
        <v>0</v>
      </c>
      <c r="L471" s="66">
        <f t="shared" si="14"/>
        <v>400000</v>
      </c>
      <c r="M471" s="153">
        <f>-PMT('Interface - Substantial impacts'!$I$42,'Interface - Substantial impacts'!$I$40,'DW Facility data'!L471)</f>
        <v>31151.436089723051</v>
      </c>
      <c r="N471" s="169">
        <f t="shared" si="15"/>
        <v>28160</v>
      </c>
      <c r="O471" s="85">
        <v>22022</v>
      </c>
      <c r="P471" s="81">
        <v>0</v>
      </c>
      <c r="V471" s="103" t="s">
        <v>1881</v>
      </c>
      <c r="W471" s="68">
        <v>464</v>
      </c>
    </row>
    <row r="472" spans="1:23" x14ac:dyDescent="0.25">
      <c r="A472" s="40">
        <v>1570003</v>
      </c>
      <c r="B472" s="40" t="s">
        <v>1222</v>
      </c>
      <c r="C472" s="68">
        <v>8749</v>
      </c>
      <c r="D472" s="112">
        <v>4438</v>
      </c>
      <c r="E472" s="40">
        <v>2000000</v>
      </c>
      <c r="K472" s="108">
        <v>0</v>
      </c>
      <c r="L472" s="66">
        <f t="shared" si="14"/>
        <v>16000000</v>
      </c>
      <c r="M472" s="153">
        <f>-PMT('Interface - Substantial impacts'!$I$42,'Interface - Substantial impacts'!$I$40,'DW Facility data'!L472)</f>
        <v>1246057.443588922</v>
      </c>
      <c r="N472" s="169">
        <f t="shared" si="15"/>
        <v>1126400</v>
      </c>
      <c r="O472" s="85">
        <v>2017732</v>
      </c>
      <c r="P472" s="81">
        <v>845424</v>
      </c>
      <c r="V472" s="103" t="s">
        <v>1961</v>
      </c>
      <c r="W472" s="68">
        <v>21986</v>
      </c>
    </row>
    <row r="473" spans="1:23" x14ac:dyDescent="0.25">
      <c r="A473" s="40">
        <v>1580001</v>
      </c>
      <c r="B473" s="40" t="s">
        <v>1795</v>
      </c>
      <c r="C473" s="68">
        <v>331</v>
      </c>
      <c r="D473" s="111">
        <v>197</v>
      </c>
      <c r="E473" s="40">
        <v>25847</v>
      </c>
      <c r="F473" s="43">
        <v>2900000</v>
      </c>
      <c r="K473" s="108">
        <v>2900000</v>
      </c>
      <c r="L473" s="66">
        <f t="shared" si="14"/>
        <v>206776</v>
      </c>
      <c r="M473" s="153">
        <f>-PMT('Interface - Substantial impacts'!$I$42,'Interface - Substantial impacts'!$I$40,'DW Facility data'!L473)</f>
        <v>16103.423372221434</v>
      </c>
      <c r="N473" s="169">
        <f t="shared" si="15"/>
        <v>14557.030400000001</v>
      </c>
      <c r="O473" s="85">
        <v>94234</v>
      </c>
      <c r="P473" s="81">
        <v>6382</v>
      </c>
      <c r="V473" s="103" t="s">
        <v>1970</v>
      </c>
      <c r="W473" s="68">
        <v>1252</v>
      </c>
    </row>
    <row r="474" spans="1:23" x14ac:dyDescent="0.25">
      <c r="A474" s="40">
        <v>1580002</v>
      </c>
      <c r="B474" s="40" t="s">
        <v>1796</v>
      </c>
      <c r="C474" s="68">
        <v>295</v>
      </c>
      <c r="D474" s="111">
        <v>131</v>
      </c>
      <c r="E474" s="40">
        <v>42000</v>
      </c>
      <c r="K474" s="108">
        <v>0</v>
      </c>
      <c r="L474" s="66">
        <f t="shared" si="14"/>
        <v>336000</v>
      </c>
      <c r="M474" s="153">
        <f>-PMT('Interface - Substantial impacts'!$I$42,'Interface - Substantial impacts'!$I$40,'DW Facility data'!L474)</f>
        <v>26167.206315367359</v>
      </c>
      <c r="N474" s="169">
        <f t="shared" si="15"/>
        <v>23654.400000000001</v>
      </c>
      <c r="O474" s="85">
        <v>70589</v>
      </c>
      <c r="P474" s="81">
        <v>40657</v>
      </c>
      <c r="V474" s="103" t="s">
        <v>1747</v>
      </c>
      <c r="W474" s="68">
        <v>356</v>
      </c>
    </row>
    <row r="475" spans="1:23" x14ac:dyDescent="0.25">
      <c r="A475" s="40">
        <v>1580005</v>
      </c>
      <c r="B475" s="40" t="s">
        <v>1592</v>
      </c>
      <c r="C475" s="68">
        <v>1904</v>
      </c>
      <c r="D475" s="111">
        <v>777</v>
      </c>
      <c r="E475" s="40">
        <v>489000</v>
      </c>
      <c r="K475" s="108">
        <v>0</v>
      </c>
      <c r="L475" s="66">
        <f t="shared" si="14"/>
        <v>3912000</v>
      </c>
      <c r="M475" s="153">
        <f>-PMT('Interface - Substantial impacts'!$I$42,'Interface - Substantial impacts'!$I$40,'DW Facility data'!L475)</f>
        <v>304661.04495749139</v>
      </c>
      <c r="N475" s="169">
        <f t="shared" si="15"/>
        <v>275404.79999999999</v>
      </c>
      <c r="O475" s="85">
        <v>364607</v>
      </c>
      <c r="P475" s="81">
        <v>130208</v>
      </c>
      <c r="V475" s="103" t="s">
        <v>1151</v>
      </c>
      <c r="W475" s="68">
        <v>8162</v>
      </c>
    </row>
    <row r="476" spans="1:23" x14ac:dyDescent="0.25">
      <c r="A476" s="40">
        <v>1580008</v>
      </c>
      <c r="B476" s="40" t="s">
        <v>1797</v>
      </c>
      <c r="C476" s="68">
        <v>3130</v>
      </c>
      <c r="D476" s="112">
        <v>1677</v>
      </c>
      <c r="E476" s="40">
        <v>407667</v>
      </c>
      <c r="K476" s="108">
        <v>0</v>
      </c>
      <c r="L476" s="66">
        <f t="shared" si="14"/>
        <v>3261336</v>
      </c>
      <c r="M476" s="153">
        <f>-PMT('Interface - Substantial impacts'!$I$42,'Interface - Substantial impacts'!$I$40,'DW Facility data'!L476)</f>
        <v>253988.24992778251</v>
      </c>
      <c r="N476" s="169">
        <f t="shared" si="15"/>
        <v>229598.05440000002</v>
      </c>
      <c r="O476" s="85">
        <v>559001</v>
      </c>
      <c r="P476" s="81">
        <v>244138</v>
      </c>
      <c r="V476" s="103" t="s">
        <v>1153</v>
      </c>
      <c r="W476" s="68">
        <v>1229</v>
      </c>
    </row>
    <row r="477" spans="1:23" x14ac:dyDescent="0.25">
      <c r="A477" s="40">
        <v>1580010</v>
      </c>
      <c r="B477" s="40" t="s">
        <v>1798</v>
      </c>
      <c r="C477" s="68">
        <v>2462</v>
      </c>
      <c r="D477" s="111">
        <v>614</v>
      </c>
      <c r="E477" s="40">
        <v>150000</v>
      </c>
      <c r="F477" s="43">
        <v>270000</v>
      </c>
      <c r="K477" s="108">
        <v>270000</v>
      </c>
      <c r="L477" s="66">
        <f t="shared" si="14"/>
        <v>1200000</v>
      </c>
      <c r="M477" s="153">
        <f>-PMT('Interface - Substantial impacts'!$I$42,'Interface - Substantial impacts'!$I$40,'DW Facility data'!L477)</f>
        <v>93454.308269169138</v>
      </c>
      <c r="N477" s="169">
        <f t="shared" si="15"/>
        <v>84480</v>
      </c>
      <c r="O477" s="85">
        <v>272078</v>
      </c>
      <c r="P477" s="81">
        <v>0</v>
      </c>
      <c r="V477" s="103" t="s">
        <v>1725</v>
      </c>
      <c r="W477" s="68">
        <v>86</v>
      </c>
    </row>
    <row r="478" spans="1:23" x14ac:dyDescent="0.25">
      <c r="A478" s="40">
        <v>1580017</v>
      </c>
      <c r="B478" s="40" t="s">
        <v>1827</v>
      </c>
      <c r="C478" s="68">
        <v>132</v>
      </c>
      <c r="D478" s="111">
        <v>45</v>
      </c>
      <c r="E478" s="40">
        <v>13400</v>
      </c>
      <c r="K478" s="108">
        <v>0</v>
      </c>
      <c r="L478" s="66">
        <f t="shared" si="14"/>
        <v>107200</v>
      </c>
      <c r="M478" s="153">
        <f>-PMT('Interface - Substantial impacts'!$I$42,'Interface - Substantial impacts'!$I$40,'DW Facility data'!L478)</f>
        <v>8348.5848720457761</v>
      </c>
      <c r="N478" s="169">
        <f t="shared" si="15"/>
        <v>7546.88</v>
      </c>
      <c r="O478" s="85">
        <v>21920</v>
      </c>
      <c r="P478" s="81">
        <v>0</v>
      </c>
      <c r="V478" s="103" t="s">
        <v>1155</v>
      </c>
      <c r="W478" s="68">
        <v>14120</v>
      </c>
    </row>
    <row r="479" spans="1:23" x14ac:dyDescent="0.25">
      <c r="A479" s="40">
        <v>1580020</v>
      </c>
      <c r="B479" s="40" t="s">
        <v>1682</v>
      </c>
      <c r="C479" s="68">
        <v>384</v>
      </c>
      <c r="D479" s="111">
        <v>193</v>
      </c>
      <c r="E479" s="40">
        <v>59296</v>
      </c>
      <c r="K479" s="108">
        <v>0</v>
      </c>
      <c r="L479" s="66">
        <f t="shared" si="14"/>
        <v>474368</v>
      </c>
      <c r="M479" s="153">
        <f>-PMT('Interface - Substantial impacts'!$I$42,'Interface - Substantial impacts'!$I$40,'DW Facility data'!L479)</f>
        <v>36943.111087524354</v>
      </c>
      <c r="N479" s="169">
        <f t="shared" si="15"/>
        <v>33395.5072</v>
      </c>
      <c r="O479" s="85">
        <v>46167</v>
      </c>
      <c r="P479" s="81">
        <v>11336</v>
      </c>
      <c r="V479" s="103" t="s">
        <v>1496</v>
      </c>
      <c r="W479" s="68">
        <v>1294</v>
      </c>
    </row>
    <row r="480" spans="1:23" x14ac:dyDescent="0.25">
      <c r="A480" s="40">
        <v>1580021</v>
      </c>
      <c r="B480" s="108" t="s">
        <v>1918</v>
      </c>
      <c r="C480" s="68">
        <v>436</v>
      </c>
      <c r="D480" s="111">
        <v>223</v>
      </c>
      <c r="E480" s="40">
        <v>172000</v>
      </c>
      <c r="K480" s="108">
        <v>0</v>
      </c>
      <c r="L480" s="66">
        <f t="shared" si="14"/>
        <v>1376000</v>
      </c>
      <c r="M480" s="153">
        <f>-PMT('Interface - Substantial impacts'!$I$42,'Interface - Substantial impacts'!$I$40,'DW Facility data'!L480)</f>
        <v>107160.94014864729</v>
      </c>
      <c r="N480" s="169">
        <f t="shared" si="15"/>
        <v>96870.400000000009</v>
      </c>
      <c r="O480" s="85">
        <v>156882</v>
      </c>
      <c r="P480" s="81">
        <v>106156</v>
      </c>
      <c r="V480" s="103" t="s">
        <v>1770</v>
      </c>
      <c r="W480" s="68">
        <v>352</v>
      </c>
    </row>
    <row r="481" spans="1:23" x14ac:dyDescent="0.25">
      <c r="A481" s="40">
        <v>1590001</v>
      </c>
      <c r="B481" s="108" t="s">
        <v>1039</v>
      </c>
      <c r="C481" s="68">
        <v>1258</v>
      </c>
      <c r="D481" s="111">
        <v>558</v>
      </c>
      <c r="E481" s="40">
        <v>180000</v>
      </c>
      <c r="K481" s="108">
        <v>0</v>
      </c>
      <c r="L481" s="66">
        <f t="shared" si="14"/>
        <v>1440000</v>
      </c>
      <c r="M481" s="153">
        <f>-PMT('Interface - Substantial impacts'!$I$42,'Interface - Substantial impacts'!$I$40,'DW Facility data'!L481)</f>
        <v>112145.16992300298</v>
      </c>
      <c r="N481" s="169">
        <f t="shared" si="15"/>
        <v>101376</v>
      </c>
      <c r="O481" s="85">
        <v>302978</v>
      </c>
      <c r="P481" s="81">
        <v>76625</v>
      </c>
      <c r="V481" s="103" t="s">
        <v>1604</v>
      </c>
      <c r="W481" s="68">
        <v>3797</v>
      </c>
    </row>
    <row r="482" spans="1:23" x14ac:dyDescent="0.25">
      <c r="A482" s="40">
        <v>1590003</v>
      </c>
      <c r="B482" s="40" t="s">
        <v>2007</v>
      </c>
      <c r="C482" s="68">
        <v>61</v>
      </c>
      <c r="D482" s="111">
        <v>35</v>
      </c>
      <c r="E482" s="40">
        <v>13000</v>
      </c>
      <c r="K482" s="108">
        <v>0</v>
      </c>
      <c r="L482" s="66">
        <f t="shared" si="14"/>
        <v>104000</v>
      </c>
      <c r="M482" s="153">
        <f>-PMT('Interface - Substantial impacts'!$I$42,'Interface - Substantial impacts'!$I$40,'DW Facility data'!L482)</f>
        <v>8099.3733833279921</v>
      </c>
      <c r="N482" s="169">
        <f t="shared" si="15"/>
        <v>7321.6</v>
      </c>
      <c r="O482" s="85">
        <v>11313</v>
      </c>
      <c r="P482" s="81">
        <v>0</v>
      </c>
      <c r="V482" s="103" t="s">
        <v>1911</v>
      </c>
      <c r="W482" s="68">
        <v>1143</v>
      </c>
    </row>
    <row r="483" spans="1:23" x14ac:dyDescent="0.25">
      <c r="A483" s="40">
        <v>1590004</v>
      </c>
      <c r="B483" s="40" t="s">
        <v>2026</v>
      </c>
      <c r="C483" s="68">
        <v>610</v>
      </c>
      <c r="D483" s="111">
        <v>343</v>
      </c>
      <c r="E483" s="40">
        <v>120000</v>
      </c>
      <c r="K483" s="108">
        <v>0</v>
      </c>
      <c r="L483" s="66">
        <f t="shared" si="14"/>
        <v>960000</v>
      </c>
      <c r="M483" s="153">
        <f>-PMT('Interface - Substantial impacts'!$I$42,'Interface - Substantial impacts'!$I$40,'DW Facility data'!L483)</f>
        <v>74763.446615335313</v>
      </c>
      <c r="N483" s="169">
        <f t="shared" si="15"/>
        <v>67584</v>
      </c>
      <c r="O483" s="85">
        <v>106031</v>
      </c>
      <c r="P483" s="81">
        <v>29300</v>
      </c>
      <c r="V483" s="103" t="s">
        <v>1714</v>
      </c>
      <c r="W483" s="68">
        <v>78</v>
      </c>
    </row>
    <row r="484" spans="1:23" x14ac:dyDescent="0.25">
      <c r="A484" s="40">
        <v>1590005</v>
      </c>
      <c r="B484" s="40" t="s">
        <v>1175</v>
      </c>
      <c r="C484" s="68">
        <v>4215</v>
      </c>
      <c r="D484" s="112">
        <v>2210</v>
      </c>
      <c r="E484" s="40">
        <v>800000</v>
      </c>
      <c r="K484" s="108">
        <v>0</v>
      </c>
      <c r="L484" s="66">
        <f t="shared" si="14"/>
        <v>6400000</v>
      </c>
      <c r="M484" s="153">
        <f>-PMT('Interface - Substantial impacts'!$I$42,'Interface - Substantial impacts'!$I$40,'DW Facility data'!L484)</f>
        <v>498422.97743556881</v>
      </c>
      <c r="N484" s="169">
        <f t="shared" si="15"/>
        <v>450560</v>
      </c>
      <c r="O484" s="85">
        <v>1323196</v>
      </c>
      <c r="P484" s="81">
        <v>712837</v>
      </c>
      <c r="V484" s="103" t="s">
        <v>1886</v>
      </c>
      <c r="W484" s="68">
        <v>52</v>
      </c>
    </row>
    <row r="485" spans="1:23" x14ac:dyDescent="0.25">
      <c r="A485" s="40">
        <v>1590007</v>
      </c>
      <c r="B485" s="40" t="s">
        <v>1580</v>
      </c>
      <c r="C485" s="68">
        <v>226</v>
      </c>
      <c r="D485" s="111">
        <v>118</v>
      </c>
      <c r="E485" s="40">
        <v>50000</v>
      </c>
      <c r="K485" s="108">
        <v>0</v>
      </c>
      <c r="L485" s="66">
        <f t="shared" si="14"/>
        <v>400000</v>
      </c>
      <c r="M485" s="153">
        <f>-PMT('Interface - Substantial impacts'!$I$42,'Interface - Substantial impacts'!$I$40,'DW Facility data'!L485)</f>
        <v>31151.436089723051</v>
      </c>
      <c r="N485" s="169">
        <f t="shared" si="15"/>
        <v>28160</v>
      </c>
      <c r="O485" s="85">
        <v>45860</v>
      </c>
      <c r="P485" s="81">
        <v>10510</v>
      </c>
      <c r="V485" s="103" t="s">
        <v>1449</v>
      </c>
      <c r="W485" s="68">
        <v>10787</v>
      </c>
    </row>
    <row r="486" spans="1:23" x14ac:dyDescent="0.25">
      <c r="A486" s="40">
        <v>1590008</v>
      </c>
      <c r="B486" s="108" t="s">
        <v>1938</v>
      </c>
      <c r="C486" s="68">
        <v>98</v>
      </c>
      <c r="D486" s="111">
        <v>37</v>
      </c>
      <c r="E486" s="40">
        <v>10000</v>
      </c>
      <c r="K486" s="108">
        <v>0</v>
      </c>
      <c r="L486" s="66">
        <f t="shared" si="14"/>
        <v>80000</v>
      </c>
      <c r="M486" s="153">
        <f>-PMT('Interface - Substantial impacts'!$I$42,'Interface - Substantial impacts'!$I$40,'DW Facility data'!L486)</f>
        <v>6230.2872179446103</v>
      </c>
      <c r="N486" s="169">
        <f t="shared" si="15"/>
        <v>5632</v>
      </c>
      <c r="O486" s="104">
        <v>4702</v>
      </c>
      <c r="P486" s="81">
        <v>0</v>
      </c>
      <c r="V486" s="109"/>
      <c r="W486" s="69"/>
    </row>
    <row r="487" spans="1:23" x14ac:dyDescent="0.25">
      <c r="A487" s="40">
        <v>1590009</v>
      </c>
      <c r="B487" s="40" t="s">
        <v>1957</v>
      </c>
      <c r="C487" s="68">
        <v>110</v>
      </c>
      <c r="D487" s="111">
        <v>65</v>
      </c>
      <c r="E487" s="40">
        <v>0</v>
      </c>
      <c r="K487" s="108">
        <v>0</v>
      </c>
      <c r="L487" s="66">
        <f t="shared" si="14"/>
        <v>0</v>
      </c>
      <c r="M487" s="153">
        <f>-PMT('Interface - Substantial impacts'!$I$42,'Interface - Substantial impacts'!$I$40,'DW Facility data'!L487)</f>
        <v>0</v>
      </c>
      <c r="N487" s="169">
        <f t="shared" si="15"/>
        <v>0</v>
      </c>
      <c r="O487" s="85">
        <v>12909</v>
      </c>
      <c r="P487" s="81">
        <v>0</v>
      </c>
      <c r="V487" s="103" t="s">
        <v>1507</v>
      </c>
      <c r="W487" s="68">
        <v>14275</v>
      </c>
    </row>
    <row r="488" spans="1:23" x14ac:dyDescent="0.25">
      <c r="A488" s="40">
        <v>1590010</v>
      </c>
      <c r="B488" s="108" t="s">
        <v>1085</v>
      </c>
      <c r="C488" s="68">
        <v>178</v>
      </c>
      <c r="D488" s="111">
        <v>88</v>
      </c>
      <c r="E488" s="40">
        <v>0</v>
      </c>
      <c r="K488" s="108">
        <v>0</v>
      </c>
      <c r="L488" s="66">
        <f t="shared" si="14"/>
        <v>0</v>
      </c>
      <c r="M488" s="153">
        <f>-PMT('Interface - Substantial impacts'!$I$42,'Interface - Substantial impacts'!$I$40,'DW Facility data'!L488)</f>
        <v>0</v>
      </c>
      <c r="N488" s="169">
        <f t="shared" si="15"/>
        <v>0</v>
      </c>
      <c r="O488" s="85">
        <v>10512</v>
      </c>
      <c r="P488" s="81">
        <v>0</v>
      </c>
      <c r="V488" s="103" t="s">
        <v>1602</v>
      </c>
      <c r="W488" s="68">
        <v>12364</v>
      </c>
    </row>
    <row r="489" spans="1:23" x14ac:dyDescent="0.25">
      <c r="A489" s="40">
        <v>1590011</v>
      </c>
      <c r="B489" s="40" t="s">
        <v>2016</v>
      </c>
      <c r="C489" s="68">
        <v>53</v>
      </c>
      <c r="D489" s="111">
        <v>12</v>
      </c>
      <c r="E489" s="40">
        <v>0</v>
      </c>
      <c r="K489" s="108">
        <v>0</v>
      </c>
      <c r="L489" s="66">
        <f t="shared" si="14"/>
        <v>0</v>
      </c>
      <c r="M489" s="153">
        <f>-PMT('Interface - Substantial impacts'!$I$42,'Interface - Substantial impacts'!$I$40,'DW Facility data'!L489)</f>
        <v>0</v>
      </c>
      <c r="N489" s="169">
        <f t="shared" si="15"/>
        <v>0</v>
      </c>
      <c r="O489" s="85">
        <v>5163</v>
      </c>
      <c r="P489" s="81">
        <v>0</v>
      </c>
      <c r="V489" s="103" t="s">
        <v>1540</v>
      </c>
      <c r="W489" s="68">
        <v>20790</v>
      </c>
    </row>
    <row r="490" spans="1:23" x14ac:dyDescent="0.25">
      <c r="A490" s="40">
        <v>1600001</v>
      </c>
      <c r="B490" s="40" t="s">
        <v>1711</v>
      </c>
      <c r="C490" s="68">
        <v>243</v>
      </c>
      <c r="D490" s="111">
        <v>101</v>
      </c>
      <c r="E490" s="40">
        <v>55000</v>
      </c>
      <c r="K490" s="108">
        <v>0</v>
      </c>
      <c r="L490" s="66">
        <f t="shared" si="14"/>
        <v>440000</v>
      </c>
      <c r="M490" s="153">
        <f>-PMT('Interface - Substantial impacts'!$I$42,'Interface - Substantial impacts'!$I$40,'DW Facility data'!L490)</f>
        <v>34266.579698695357</v>
      </c>
      <c r="N490" s="169">
        <f t="shared" si="15"/>
        <v>30976.000000000004</v>
      </c>
      <c r="O490" s="85">
        <v>55191</v>
      </c>
      <c r="P490" s="81">
        <v>0</v>
      </c>
      <c r="V490" s="103" t="s">
        <v>1764</v>
      </c>
      <c r="W490" s="68">
        <v>155</v>
      </c>
    </row>
    <row r="491" spans="1:23" x14ac:dyDescent="0.25">
      <c r="A491" s="40">
        <v>1600002</v>
      </c>
      <c r="B491" s="40" t="s">
        <v>1712</v>
      </c>
      <c r="C491" s="68">
        <v>7482</v>
      </c>
      <c r="D491" s="112">
        <v>3684</v>
      </c>
      <c r="E491" s="40">
        <v>1960000</v>
      </c>
      <c r="K491" s="108">
        <v>0</v>
      </c>
      <c r="L491" s="66">
        <f t="shared" si="14"/>
        <v>15680000</v>
      </c>
      <c r="M491" s="153">
        <f>-PMT('Interface - Substantial impacts'!$I$42,'Interface - Substantial impacts'!$I$40,'DW Facility data'!L491)</f>
        <v>1221136.2947171435</v>
      </c>
      <c r="N491" s="169">
        <f t="shared" si="15"/>
        <v>1103872</v>
      </c>
      <c r="O491" s="85">
        <v>1124156</v>
      </c>
      <c r="P491" s="81">
        <v>0</v>
      </c>
      <c r="V491" s="103" t="s">
        <v>1505</v>
      </c>
      <c r="W491" s="68">
        <v>223</v>
      </c>
    </row>
    <row r="492" spans="1:23" x14ac:dyDescent="0.25">
      <c r="A492" s="40">
        <v>1600004</v>
      </c>
      <c r="B492" s="40" t="s">
        <v>1713</v>
      </c>
      <c r="C492" s="68">
        <v>9176</v>
      </c>
      <c r="D492" s="112">
        <v>3721</v>
      </c>
      <c r="E492" s="40">
        <v>1800000</v>
      </c>
      <c r="K492" s="108">
        <v>0</v>
      </c>
      <c r="L492" s="66">
        <f t="shared" si="14"/>
        <v>14400000</v>
      </c>
      <c r="M492" s="153">
        <f>-PMT('Interface - Substantial impacts'!$I$42,'Interface - Substantial impacts'!$I$40,'DW Facility data'!L492)</f>
        <v>1121451.6992300297</v>
      </c>
      <c r="N492" s="169">
        <f t="shared" si="15"/>
        <v>1013760.0000000001</v>
      </c>
      <c r="O492" s="85">
        <v>2703771</v>
      </c>
      <c r="P492" s="81">
        <v>0</v>
      </c>
      <c r="V492" s="103" t="s">
        <v>1157</v>
      </c>
      <c r="W492" s="68">
        <v>3863</v>
      </c>
    </row>
    <row r="493" spans="1:23" x14ac:dyDescent="0.25">
      <c r="A493" s="40">
        <v>1600005</v>
      </c>
      <c r="B493" s="40" t="s">
        <v>1892</v>
      </c>
      <c r="C493" s="68">
        <v>403</v>
      </c>
      <c r="D493" s="111">
        <v>241</v>
      </c>
      <c r="E493" s="40">
        <v>180000</v>
      </c>
      <c r="K493" s="108">
        <v>0</v>
      </c>
      <c r="L493" s="66">
        <f t="shared" si="14"/>
        <v>1440000</v>
      </c>
      <c r="M493" s="153">
        <f>-PMT('Interface - Substantial impacts'!$I$42,'Interface - Substantial impacts'!$I$40,'DW Facility data'!L493)</f>
        <v>112145.16992300298</v>
      </c>
      <c r="N493" s="169">
        <f t="shared" si="15"/>
        <v>101376</v>
      </c>
      <c r="O493" s="85">
        <v>138925</v>
      </c>
      <c r="P493" s="81">
        <v>73860</v>
      </c>
      <c r="R493" s="40">
        <f>53127+180982</f>
        <v>234109</v>
      </c>
      <c r="V493" s="103" t="s">
        <v>1894</v>
      </c>
      <c r="W493" s="68">
        <v>8929</v>
      </c>
    </row>
    <row r="494" spans="1:23" x14ac:dyDescent="0.25">
      <c r="A494" s="40">
        <v>1600008</v>
      </c>
      <c r="B494" s="40" t="s">
        <v>1644</v>
      </c>
      <c r="C494" s="68">
        <v>804</v>
      </c>
      <c r="D494" s="111">
        <v>415</v>
      </c>
      <c r="E494" s="40">
        <v>150000</v>
      </c>
      <c r="K494" s="108">
        <v>0</v>
      </c>
      <c r="L494" s="66">
        <f t="shared" si="14"/>
        <v>1200000</v>
      </c>
      <c r="M494" s="153">
        <f>-PMT('Interface - Substantial impacts'!$I$42,'Interface - Substantial impacts'!$I$40,'DW Facility data'!L494)</f>
        <v>93454.308269169138</v>
      </c>
      <c r="N494" s="169">
        <f t="shared" si="15"/>
        <v>84480</v>
      </c>
      <c r="O494" s="85">
        <v>195022</v>
      </c>
      <c r="P494" s="81">
        <v>118211</v>
      </c>
      <c r="V494" s="103" t="s">
        <v>1605</v>
      </c>
      <c r="W494" s="68">
        <v>4849</v>
      </c>
    </row>
    <row r="495" spans="1:23" x14ac:dyDescent="0.25">
      <c r="A495" s="40">
        <v>1600009</v>
      </c>
      <c r="B495" s="40" t="s">
        <v>1941</v>
      </c>
      <c r="C495" s="68">
        <v>422</v>
      </c>
      <c r="D495" s="111">
        <v>203</v>
      </c>
      <c r="E495" s="40">
        <v>100000</v>
      </c>
      <c r="K495" s="108">
        <v>0</v>
      </c>
      <c r="L495" s="66">
        <f t="shared" si="14"/>
        <v>800000</v>
      </c>
      <c r="M495" s="153">
        <f>-PMT('Interface - Substantial impacts'!$I$42,'Interface - Substantial impacts'!$I$40,'DW Facility data'!L495)</f>
        <v>62302.872179446102</v>
      </c>
      <c r="N495" s="169">
        <f t="shared" si="15"/>
        <v>56320</v>
      </c>
      <c r="O495" s="85">
        <v>154753</v>
      </c>
      <c r="P495" s="81">
        <v>115600</v>
      </c>
      <c r="V495" s="103" t="s">
        <v>1524</v>
      </c>
      <c r="W495" s="68">
        <v>28303</v>
      </c>
    </row>
    <row r="496" spans="1:23" x14ac:dyDescent="0.25">
      <c r="A496" s="40">
        <v>1600010</v>
      </c>
      <c r="B496" s="40" t="s">
        <v>1057</v>
      </c>
      <c r="C496" s="68">
        <v>1434</v>
      </c>
      <c r="D496" s="111">
        <v>690</v>
      </c>
      <c r="E496" s="40">
        <v>400000</v>
      </c>
      <c r="K496" s="108">
        <v>0</v>
      </c>
      <c r="L496" s="66">
        <f t="shared" si="14"/>
        <v>3200000</v>
      </c>
      <c r="M496" s="153">
        <f>-PMT('Interface - Substantial impacts'!$I$42,'Interface - Substantial impacts'!$I$40,'DW Facility data'!L496)</f>
        <v>249211.48871778441</v>
      </c>
      <c r="N496" s="169">
        <f t="shared" si="15"/>
        <v>225280</v>
      </c>
      <c r="O496" s="85">
        <v>352922</v>
      </c>
      <c r="P496" s="81">
        <v>192502</v>
      </c>
      <c r="V496" s="103" t="s">
        <v>1541</v>
      </c>
      <c r="W496" s="68">
        <v>103</v>
      </c>
    </row>
    <row r="497" spans="1:23" x14ac:dyDescent="0.25">
      <c r="A497" s="40">
        <v>1600011</v>
      </c>
      <c r="B497" s="40" t="s">
        <v>1876</v>
      </c>
      <c r="C497" s="68">
        <v>606</v>
      </c>
      <c r="D497" s="111">
        <v>309</v>
      </c>
      <c r="E497" s="40">
        <v>110000</v>
      </c>
      <c r="K497" s="108">
        <v>0</v>
      </c>
      <c r="L497" s="66">
        <f t="shared" si="14"/>
        <v>880000</v>
      </c>
      <c r="M497" s="153">
        <f>-PMT('Interface - Substantial impacts'!$I$42,'Interface - Substantial impacts'!$I$40,'DW Facility data'!L497)</f>
        <v>68533.159397390715</v>
      </c>
      <c r="N497" s="169">
        <f t="shared" si="15"/>
        <v>61952.000000000007</v>
      </c>
      <c r="O497" s="85">
        <v>171199</v>
      </c>
      <c r="P497" s="81">
        <v>122911</v>
      </c>
      <c r="V497" s="103" t="s">
        <v>1986</v>
      </c>
      <c r="W497" s="68">
        <v>123</v>
      </c>
    </row>
    <row r="498" spans="1:23" x14ac:dyDescent="0.25">
      <c r="A498" s="40">
        <v>1600012</v>
      </c>
      <c r="B498" s="40" t="s">
        <v>1714</v>
      </c>
      <c r="C498" s="68">
        <v>78</v>
      </c>
      <c r="D498" s="111">
        <v>51</v>
      </c>
      <c r="E498" s="40">
        <v>100000</v>
      </c>
      <c r="F498" s="43">
        <v>271310</v>
      </c>
      <c r="K498" s="108">
        <v>271310</v>
      </c>
      <c r="L498" s="66">
        <f t="shared" si="14"/>
        <v>800000</v>
      </c>
      <c r="M498" s="153">
        <f>-PMT('Interface - Substantial impacts'!$I$42,'Interface - Substantial impacts'!$I$40,'DW Facility data'!L498)</f>
        <v>62302.872179446102</v>
      </c>
      <c r="N498" s="169">
        <f t="shared" si="15"/>
        <v>56320</v>
      </c>
      <c r="O498" s="85">
        <v>30316</v>
      </c>
      <c r="P498" s="81">
        <v>36353</v>
      </c>
      <c r="V498" s="103" t="s">
        <v>1943</v>
      </c>
      <c r="W498" s="68">
        <v>208</v>
      </c>
    </row>
    <row r="499" spans="1:23" x14ac:dyDescent="0.25">
      <c r="A499" s="40">
        <v>1600013</v>
      </c>
      <c r="B499" s="40" t="s">
        <v>1932</v>
      </c>
      <c r="C499" s="68">
        <v>174</v>
      </c>
      <c r="D499" s="111">
        <v>86</v>
      </c>
      <c r="E499" s="40">
        <v>86000</v>
      </c>
      <c r="K499" s="108">
        <v>0</v>
      </c>
      <c r="L499" s="66">
        <f t="shared" si="14"/>
        <v>688000</v>
      </c>
      <c r="M499" s="153">
        <f>-PMT('Interface - Substantial impacts'!$I$42,'Interface - Substantial impacts'!$I$40,'DW Facility data'!L499)</f>
        <v>53580.470074323646</v>
      </c>
      <c r="N499" s="169">
        <f t="shared" si="15"/>
        <v>48435.200000000004</v>
      </c>
      <c r="O499" s="85">
        <v>27800</v>
      </c>
      <c r="P499" s="81">
        <v>32383</v>
      </c>
      <c r="V499" s="103" t="s">
        <v>1159</v>
      </c>
      <c r="W499" s="68">
        <v>388</v>
      </c>
    </row>
    <row r="500" spans="1:23" x14ac:dyDescent="0.25">
      <c r="A500" s="40">
        <v>1600014</v>
      </c>
      <c r="B500" s="40" t="s">
        <v>1715</v>
      </c>
      <c r="C500" s="68">
        <v>88</v>
      </c>
      <c r="D500" s="111">
        <v>56</v>
      </c>
      <c r="E500" s="40">
        <v>10000</v>
      </c>
      <c r="K500" s="108">
        <v>0</v>
      </c>
      <c r="L500" s="66">
        <f t="shared" si="14"/>
        <v>80000</v>
      </c>
      <c r="M500" s="153">
        <f>-PMT('Interface - Substantial impacts'!$I$42,'Interface - Substantial impacts'!$I$40,'DW Facility data'!L500)</f>
        <v>6230.2872179446103</v>
      </c>
      <c r="N500" s="169">
        <f t="shared" si="15"/>
        <v>5632</v>
      </c>
      <c r="O500" s="85">
        <v>45007</v>
      </c>
      <c r="P500" s="81">
        <v>0</v>
      </c>
      <c r="V500" s="103" t="s">
        <v>1885</v>
      </c>
      <c r="W500" s="68">
        <v>203</v>
      </c>
    </row>
    <row r="501" spans="1:23" x14ac:dyDescent="0.25">
      <c r="A501" s="40">
        <v>1610001</v>
      </c>
      <c r="B501" s="40" t="s">
        <v>1903</v>
      </c>
      <c r="C501" s="68">
        <v>305</v>
      </c>
      <c r="D501" s="111">
        <v>193</v>
      </c>
      <c r="E501" s="40">
        <v>110000</v>
      </c>
      <c r="K501" s="108">
        <v>0</v>
      </c>
      <c r="L501" s="66">
        <f t="shared" si="14"/>
        <v>880000</v>
      </c>
      <c r="M501" s="153">
        <f>-PMT('Interface - Substantial impacts'!$I$42,'Interface - Substantial impacts'!$I$40,'DW Facility data'!L501)</f>
        <v>68533.159397390715</v>
      </c>
      <c r="N501" s="169">
        <f t="shared" si="15"/>
        <v>61952.000000000007</v>
      </c>
      <c r="O501" s="85">
        <v>120777</v>
      </c>
      <c r="P501" s="81">
        <v>32558</v>
      </c>
      <c r="V501" s="103" t="s">
        <v>1610</v>
      </c>
      <c r="W501" s="68">
        <v>413</v>
      </c>
    </row>
    <row r="502" spans="1:23" x14ac:dyDescent="0.25">
      <c r="A502" s="40">
        <v>1610003</v>
      </c>
      <c r="B502" s="40" t="s">
        <v>1708</v>
      </c>
      <c r="C502" s="68">
        <v>2657</v>
      </c>
      <c r="D502" s="112">
        <v>1404</v>
      </c>
      <c r="E502" s="40">
        <v>860000</v>
      </c>
      <c r="K502" s="108">
        <v>0</v>
      </c>
      <c r="L502" s="66">
        <f t="shared" si="14"/>
        <v>6880000</v>
      </c>
      <c r="M502" s="153">
        <f>-PMT('Interface - Substantial impacts'!$I$42,'Interface - Substantial impacts'!$I$40,'DW Facility data'!L502)</f>
        <v>535804.70074323646</v>
      </c>
      <c r="N502" s="169">
        <f t="shared" si="15"/>
        <v>484352.00000000006</v>
      </c>
      <c r="O502" s="85">
        <v>452116</v>
      </c>
      <c r="P502" s="81">
        <v>143403</v>
      </c>
      <c r="V502" s="103" t="s">
        <v>1161</v>
      </c>
      <c r="W502" s="68">
        <v>2343</v>
      </c>
    </row>
    <row r="503" spans="1:23" x14ac:dyDescent="0.25">
      <c r="A503" s="40">
        <v>1610007</v>
      </c>
      <c r="B503" s="40" t="s">
        <v>1915</v>
      </c>
      <c r="C503" s="68">
        <v>334</v>
      </c>
      <c r="D503" s="111">
        <v>140</v>
      </c>
      <c r="E503" s="40">
        <v>93000</v>
      </c>
      <c r="K503" s="108">
        <v>0</v>
      </c>
      <c r="L503" s="66">
        <f t="shared" si="14"/>
        <v>744000</v>
      </c>
      <c r="M503" s="153">
        <f>-PMT('Interface - Substantial impacts'!$I$42,'Interface - Substantial impacts'!$I$40,'DW Facility data'!L503)</f>
        <v>57941.671126884874</v>
      </c>
      <c r="N503" s="169">
        <f t="shared" si="15"/>
        <v>52377.600000000006</v>
      </c>
      <c r="O503" s="85">
        <v>171761</v>
      </c>
      <c r="P503" s="81">
        <v>77385</v>
      </c>
      <c r="V503" s="103" t="s">
        <v>1583</v>
      </c>
      <c r="W503" s="68">
        <v>784</v>
      </c>
    </row>
    <row r="504" spans="1:23" x14ac:dyDescent="0.25">
      <c r="A504" s="40">
        <v>1610008</v>
      </c>
      <c r="B504" s="40" t="s">
        <v>1220</v>
      </c>
      <c r="C504" s="68">
        <v>1365</v>
      </c>
      <c r="D504" s="111">
        <v>645</v>
      </c>
      <c r="E504" s="40">
        <v>277000</v>
      </c>
      <c r="K504" s="108">
        <v>0</v>
      </c>
      <c r="L504" s="66">
        <f t="shared" si="14"/>
        <v>2216000</v>
      </c>
      <c r="M504" s="153">
        <f>-PMT('Interface - Substantial impacts'!$I$42,'Interface - Substantial impacts'!$I$40,'DW Facility data'!L504)</f>
        <v>172578.95593706568</v>
      </c>
      <c r="N504" s="169">
        <f t="shared" si="15"/>
        <v>156006.40000000002</v>
      </c>
      <c r="O504" s="85">
        <v>134088</v>
      </c>
      <c r="P504" s="81">
        <v>522227</v>
      </c>
      <c r="V504" s="103" t="s">
        <v>2014</v>
      </c>
      <c r="W504" s="68">
        <v>118</v>
      </c>
    </row>
    <row r="505" spans="1:23" x14ac:dyDescent="0.25">
      <c r="A505" s="40">
        <v>1620001</v>
      </c>
      <c r="B505" s="108" t="s">
        <v>2033</v>
      </c>
      <c r="C505" s="68">
        <v>9939</v>
      </c>
      <c r="D505" s="112">
        <v>3022</v>
      </c>
      <c r="E505" s="40">
        <v>1680000</v>
      </c>
      <c r="K505" s="108">
        <v>0</v>
      </c>
      <c r="L505" s="66">
        <f t="shared" si="14"/>
        <v>13440000</v>
      </c>
      <c r="M505" s="153">
        <f>-PMT('Interface - Substantial impacts'!$I$42,'Interface - Substantial impacts'!$I$40,'DW Facility data'!L505)</f>
        <v>1046688.2526146945</v>
      </c>
      <c r="N505" s="169">
        <f t="shared" si="15"/>
        <v>946176</v>
      </c>
      <c r="O505" s="104">
        <v>1937208</v>
      </c>
      <c r="P505" s="81">
        <v>233875</v>
      </c>
      <c r="V505" s="109"/>
      <c r="W505" s="69"/>
    </row>
    <row r="506" spans="1:23" x14ac:dyDescent="0.25">
      <c r="A506" s="40">
        <v>1620005</v>
      </c>
      <c r="B506" s="40" t="s">
        <v>2036</v>
      </c>
      <c r="C506" s="68">
        <v>10819</v>
      </c>
      <c r="D506" s="112">
        <v>4894</v>
      </c>
      <c r="E506" s="40">
        <v>1500000</v>
      </c>
      <c r="K506" s="108">
        <v>0</v>
      </c>
      <c r="L506" s="66">
        <f t="shared" si="14"/>
        <v>12000000</v>
      </c>
      <c r="M506" s="153">
        <f>-PMT('Interface - Substantial impacts'!$I$42,'Interface - Substantial impacts'!$I$40,'DW Facility data'!L506)</f>
        <v>934543.08269169147</v>
      </c>
      <c r="N506" s="169">
        <f t="shared" si="15"/>
        <v>844800</v>
      </c>
      <c r="O506" s="85">
        <v>1670444</v>
      </c>
      <c r="P506" s="81">
        <v>0</v>
      </c>
      <c r="V506" s="103" t="s">
        <v>1859</v>
      </c>
      <c r="W506" s="68">
        <v>1802</v>
      </c>
    </row>
    <row r="507" spans="1:23" x14ac:dyDescent="0.25">
      <c r="A507" s="40">
        <v>1620008</v>
      </c>
      <c r="B507" s="40" t="s">
        <v>1472</v>
      </c>
      <c r="C507" s="68">
        <v>13249</v>
      </c>
      <c r="D507" s="112">
        <v>5188</v>
      </c>
      <c r="E507" s="40">
        <v>2182000</v>
      </c>
      <c r="F507" s="43">
        <v>2340000</v>
      </c>
      <c r="K507" s="108">
        <v>2340000</v>
      </c>
      <c r="L507" s="66">
        <f t="shared" si="14"/>
        <v>17456000</v>
      </c>
      <c r="M507" s="153">
        <f>-PMT('Interface - Substantial impacts'!$I$42,'Interface - Substantial impacts'!$I$40,'DW Facility data'!L507)</f>
        <v>1359448.6709555138</v>
      </c>
      <c r="N507" s="169">
        <f t="shared" si="15"/>
        <v>1228902.4000000001</v>
      </c>
      <c r="O507" s="85">
        <v>1029738</v>
      </c>
      <c r="P507" s="81">
        <v>0</v>
      </c>
      <c r="V507" s="103" t="s">
        <v>1619</v>
      </c>
      <c r="W507" s="68">
        <v>211</v>
      </c>
    </row>
    <row r="508" spans="1:23" x14ac:dyDescent="0.25">
      <c r="A508" s="40">
        <v>1620009</v>
      </c>
      <c r="B508" s="40" t="s">
        <v>1473</v>
      </c>
      <c r="C508" s="68">
        <v>23454</v>
      </c>
      <c r="D508" s="112">
        <v>9148</v>
      </c>
      <c r="E508" s="40">
        <v>4632000</v>
      </c>
      <c r="K508" s="108">
        <v>0</v>
      </c>
      <c r="L508" s="66">
        <f t="shared" si="14"/>
        <v>37056000</v>
      </c>
      <c r="M508" s="153">
        <f>-PMT('Interface - Substantial impacts'!$I$42,'Interface - Substantial impacts'!$I$40,'DW Facility data'!L508)</f>
        <v>2885869.0393519429</v>
      </c>
      <c r="N508" s="169">
        <f t="shared" si="15"/>
        <v>2608742.4000000004</v>
      </c>
      <c r="O508" s="85">
        <v>2041524</v>
      </c>
      <c r="P508" s="81">
        <v>374092</v>
      </c>
      <c r="V508" s="103" t="s">
        <v>1594</v>
      </c>
      <c r="W508" s="68">
        <v>2021</v>
      </c>
    </row>
    <row r="509" spans="1:23" x14ac:dyDescent="0.25">
      <c r="A509" s="40">
        <v>1620011</v>
      </c>
      <c r="B509" s="17" t="s">
        <v>1602</v>
      </c>
      <c r="C509" s="68">
        <v>12364</v>
      </c>
      <c r="D509" s="112">
        <v>4619</v>
      </c>
      <c r="E509" s="40">
        <v>2314000</v>
      </c>
      <c r="K509" s="108">
        <v>0</v>
      </c>
      <c r="L509" s="66">
        <f t="shared" si="14"/>
        <v>18512000</v>
      </c>
      <c r="M509" s="153">
        <f>-PMT('Interface - Substantial impacts'!$I$42,'Interface - Substantial impacts'!$I$40,'DW Facility data'!L509)</f>
        <v>1441688.4622323827</v>
      </c>
      <c r="N509" s="169">
        <f t="shared" si="15"/>
        <v>1303244.8</v>
      </c>
      <c r="O509" s="85">
        <v>952154</v>
      </c>
      <c r="P509" s="81">
        <v>395532</v>
      </c>
      <c r="V509" s="103" t="s">
        <v>1865</v>
      </c>
      <c r="W509" s="68">
        <v>1771</v>
      </c>
    </row>
    <row r="510" spans="1:23" x14ac:dyDescent="0.25">
      <c r="A510" s="40">
        <v>1620013</v>
      </c>
      <c r="B510" s="40" t="s">
        <v>1969</v>
      </c>
      <c r="C510" s="68">
        <v>36254</v>
      </c>
      <c r="D510" s="112">
        <v>16031</v>
      </c>
      <c r="E510" s="40">
        <v>7280533</v>
      </c>
      <c r="K510" s="108">
        <v>0</v>
      </c>
      <c r="L510" s="66">
        <f t="shared" si="14"/>
        <v>58244264</v>
      </c>
      <c r="M510" s="153">
        <f>-PMT('Interface - Substantial impacts'!$I$42,'Interface - Substantial impacts'!$I$40,'DW Facility data'!L510)</f>
        <v>4535981.1689723926</v>
      </c>
      <c r="N510" s="169">
        <f t="shared" si="15"/>
        <v>4100396.1856000004</v>
      </c>
      <c r="O510" s="85">
        <v>6618997</v>
      </c>
      <c r="P510" s="81">
        <v>0</v>
      </c>
      <c r="V510" s="103" t="s">
        <v>1977</v>
      </c>
      <c r="W510" s="68">
        <v>239</v>
      </c>
    </row>
    <row r="511" spans="1:23" x14ac:dyDescent="0.25">
      <c r="A511" s="40">
        <v>1620020</v>
      </c>
      <c r="B511" s="40" t="s">
        <v>1905</v>
      </c>
      <c r="C511" s="68">
        <v>26921</v>
      </c>
      <c r="D511" s="112">
        <v>11695</v>
      </c>
      <c r="E511" s="40">
        <v>5882500</v>
      </c>
      <c r="K511" s="108">
        <v>0</v>
      </c>
      <c r="L511" s="66">
        <f t="shared" si="14"/>
        <v>47060000</v>
      </c>
      <c r="M511" s="153">
        <f>-PMT('Interface - Substantial impacts'!$I$42,'Interface - Substantial impacts'!$I$40,'DW Facility data'!L511)</f>
        <v>3664966.4559559166</v>
      </c>
      <c r="N511" s="169">
        <f t="shared" si="15"/>
        <v>3313024</v>
      </c>
      <c r="O511" s="85">
        <v>2905111</v>
      </c>
      <c r="P511" s="81">
        <v>1604166</v>
      </c>
      <c r="V511" s="103" t="s">
        <v>2029</v>
      </c>
      <c r="W511" s="68">
        <v>2688</v>
      </c>
    </row>
    <row r="512" spans="1:23" x14ac:dyDescent="0.25">
      <c r="A512" s="40">
        <v>1620024</v>
      </c>
      <c r="B512" s="40" t="s">
        <v>1474</v>
      </c>
      <c r="C512" s="68">
        <v>24883</v>
      </c>
      <c r="D512" s="112">
        <v>11349</v>
      </c>
      <c r="E512" s="40">
        <v>4105000</v>
      </c>
      <c r="K512" s="108">
        <v>0</v>
      </c>
      <c r="L512" s="66">
        <f t="shared" si="14"/>
        <v>32840000</v>
      </c>
      <c r="M512" s="153">
        <f>-PMT('Interface - Substantial impacts'!$I$42,'Interface - Substantial impacts'!$I$40,'DW Facility data'!L512)</f>
        <v>2557532.9029662623</v>
      </c>
      <c r="N512" s="169">
        <f t="shared" si="15"/>
        <v>2311936</v>
      </c>
      <c r="O512" s="85">
        <v>2409716</v>
      </c>
      <c r="P512" s="81">
        <v>7995</v>
      </c>
      <c r="V512" s="103" t="s">
        <v>1733</v>
      </c>
      <c r="W512" s="68">
        <v>231</v>
      </c>
    </row>
    <row r="513" spans="1:23" x14ac:dyDescent="0.25">
      <c r="A513" s="40">
        <v>1620025</v>
      </c>
      <c r="B513" s="109" t="s">
        <v>1475</v>
      </c>
      <c r="C513" s="69"/>
      <c r="D513" s="113"/>
      <c r="E513" s="40">
        <v>3771000</v>
      </c>
      <c r="K513" s="108">
        <v>0</v>
      </c>
      <c r="L513" s="66">
        <f t="shared" si="14"/>
        <v>30168000</v>
      </c>
      <c r="M513" s="153">
        <f>-PMT('Interface - Substantial impacts'!$I$42,'Interface - Substantial impacts'!$I$40,'DW Facility data'!L513)</f>
        <v>2349441.3098869123</v>
      </c>
      <c r="N513" s="169">
        <f t="shared" si="15"/>
        <v>2123827.2000000002</v>
      </c>
      <c r="O513" s="105"/>
      <c r="P513" s="86"/>
      <c r="V513" s="103" t="s">
        <v>1163</v>
      </c>
      <c r="W513" s="68">
        <v>19966</v>
      </c>
    </row>
    <row r="514" spans="1:23" x14ac:dyDescent="0.25">
      <c r="A514" s="40">
        <v>1620026</v>
      </c>
      <c r="B514" s="40" t="s">
        <v>1477</v>
      </c>
      <c r="C514" s="68">
        <v>311527</v>
      </c>
      <c r="D514" s="112">
        <v>121887</v>
      </c>
      <c r="E514" s="40">
        <v>66800000</v>
      </c>
      <c r="F514" s="43">
        <v>20000000</v>
      </c>
      <c r="G514" s="43">
        <v>140000000</v>
      </c>
      <c r="K514" s="108">
        <v>160000000</v>
      </c>
      <c r="L514" s="66">
        <f t="shared" ref="L514:L577" si="16">E514*8</f>
        <v>534400000</v>
      </c>
      <c r="M514" s="153">
        <f>-PMT('Interface - Substantial impacts'!$I$42,'Interface - Substantial impacts'!$I$40,'DW Facility data'!L514)</f>
        <v>41618318.615869991</v>
      </c>
      <c r="N514" s="169">
        <f t="shared" si="15"/>
        <v>37621760</v>
      </c>
      <c r="O514" s="85">
        <v>51266256</v>
      </c>
      <c r="P514" s="81">
        <v>4680808</v>
      </c>
      <c r="V514" s="103" t="s">
        <v>2003</v>
      </c>
      <c r="W514" s="68">
        <v>629</v>
      </c>
    </row>
    <row r="515" spans="1:23" x14ac:dyDescent="0.25">
      <c r="A515" s="40">
        <v>1620030</v>
      </c>
      <c r="B515" s="40" t="s">
        <v>1520</v>
      </c>
      <c r="C515" s="68">
        <v>12912</v>
      </c>
      <c r="D515" s="112">
        <v>5935</v>
      </c>
      <c r="E515" s="40">
        <v>3266000</v>
      </c>
      <c r="K515" s="108">
        <v>0</v>
      </c>
      <c r="L515" s="66">
        <f t="shared" si="16"/>
        <v>26128000</v>
      </c>
      <c r="M515" s="153">
        <f>-PMT('Interface - Substantial impacts'!$I$42,'Interface - Substantial impacts'!$I$40,'DW Facility data'!L515)</f>
        <v>2034811.8053807095</v>
      </c>
      <c r="N515" s="169">
        <f t="shared" ref="N515:N578" si="17">L515*0.0704</f>
        <v>1839411.2000000002</v>
      </c>
      <c r="O515" s="85">
        <v>942344</v>
      </c>
      <c r="P515" s="81">
        <v>0</v>
      </c>
      <c r="V515" s="103" t="s">
        <v>1165</v>
      </c>
      <c r="W515" s="68">
        <v>26420</v>
      </c>
    </row>
    <row r="516" spans="1:23" x14ac:dyDescent="0.25">
      <c r="A516" s="40">
        <v>1630001</v>
      </c>
      <c r="B516" s="40" t="s">
        <v>1610</v>
      </c>
      <c r="C516" s="68">
        <v>413</v>
      </c>
      <c r="D516" s="111">
        <v>224</v>
      </c>
      <c r="E516" s="40">
        <v>100000</v>
      </c>
      <c r="K516" s="108">
        <v>0</v>
      </c>
      <c r="L516" s="66">
        <f t="shared" si="16"/>
        <v>800000</v>
      </c>
      <c r="M516" s="153">
        <f>-PMT('Interface - Substantial impacts'!$I$42,'Interface - Substantial impacts'!$I$40,'DW Facility data'!L516)</f>
        <v>62302.872179446102</v>
      </c>
      <c r="N516" s="169">
        <f t="shared" si="17"/>
        <v>56320</v>
      </c>
      <c r="O516" s="85">
        <v>73756</v>
      </c>
      <c r="P516" s="81">
        <v>59750</v>
      </c>
      <c r="V516" s="103" t="s">
        <v>1673</v>
      </c>
      <c r="W516" s="68">
        <v>162</v>
      </c>
    </row>
    <row r="517" spans="1:23" x14ac:dyDescent="0.25">
      <c r="A517" s="40">
        <v>1630002</v>
      </c>
      <c r="B517" s="40" t="s">
        <v>1716</v>
      </c>
      <c r="C517" s="68">
        <v>276</v>
      </c>
      <c r="D517" s="111">
        <v>165</v>
      </c>
      <c r="E517" s="40">
        <v>25000</v>
      </c>
      <c r="K517" s="108">
        <v>0</v>
      </c>
      <c r="L517" s="66">
        <f t="shared" si="16"/>
        <v>200000</v>
      </c>
      <c r="M517" s="153">
        <f>-PMT('Interface - Substantial impacts'!$I$42,'Interface - Substantial impacts'!$I$40,'DW Facility data'!L517)</f>
        <v>15575.718044861525</v>
      </c>
      <c r="N517" s="169">
        <f t="shared" si="17"/>
        <v>14080</v>
      </c>
      <c r="O517" s="85">
        <v>53087</v>
      </c>
      <c r="P517" s="81">
        <v>9890</v>
      </c>
      <c r="V517" s="103" t="s">
        <v>1897</v>
      </c>
      <c r="W517" s="68">
        <v>4142</v>
      </c>
    </row>
    <row r="518" spans="1:23" x14ac:dyDescent="0.25">
      <c r="A518" s="40">
        <v>1630003</v>
      </c>
      <c r="B518" s="40" t="s">
        <v>1186</v>
      </c>
      <c r="C518" s="68">
        <v>1339</v>
      </c>
      <c r="D518" s="111">
        <v>685</v>
      </c>
      <c r="E518" s="40">
        <v>225000</v>
      </c>
      <c r="K518" s="108">
        <v>0</v>
      </c>
      <c r="L518" s="66">
        <f t="shared" si="16"/>
        <v>1800000</v>
      </c>
      <c r="M518" s="153">
        <f>-PMT('Interface - Substantial impacts'!$I$42,'Interface - Substantial impacts'!$I$40,'DW Facility data'!L518)</f>
        <v>140181.46240375371</v>
      </c>
      <c r="N518" s="169">
        <f t="shared" si="17"/>
        <v>126720.00000000001</v>
      </c>
      <c r="O518" s="85">
        <v>280341</v>
      </c>
      <c r="P518" s="81">
        <v>129180</v>
      </c>
      <c r="V518" s="103" t="s">
        <v>1497</v>
      </c>
      <c r="W518" s="68">
        <v>1020</v>
      </c>
    </row>
    <row r="519" spans="1:23" x14ac:dyDescent="0.25">
      <c r="A519" s="40">
        <v>1640001</v>
      </c>
      <c r="B519" s="40" t="s">
        <v>1527</v>
      </c>
      <c r="C519" s="68">
        <v>291</v>
      </c>
      <c r="D519" s="111">
        <v>168</v>
      </c>
      <c r="E519" s="40">
        <v>65000</v>
      </c>
      <c r="K519" s="108">
        <v>0</v>
      </c>
      <c r="L519" s="66">
        <f t="shared" si="16"/>
        <v>520000</v>
      </c>
      <c r="M519" s="153">
        <f>-PMT('Interface - Substantial impacts'!$I$42,'Interface - Substantial impacts'!$I$40,'DW Facility data'!L519)</f>
        <v>40496.866916639963</v>
      </c>
      <c r="N519" s="169">
        <f t="shared" si="17"/>
        <v>36608</v>
      </c>
      <c r="O519" s="85">
        <v>28296</v>
      </c>
      <c r="P519" s="81">
        <v>0</v>
      </c>
      <c r="V519" s="103" t="s">
        <v>1819</v>
      </c>
      <c r="W519" s="68">
        <v>2388</v>
      </c>
    </row>
    <row r="520" spans="1:23" x14ac:dyDescent="0.25">
      <c r="A520" s="40">
        <v>1640002</v>
      </c>
      <c r="B520" s="40" t="s">
        <v>1638</v>
      </c>
      <c r="C520" s="68">
        <v>155</v>
      </c>
      <c r="D520" s="111">
        <v>80</v>
      </c>
      <c r="E520" s="40">
        <v>22000</v>
      </c>
      <c r="K520" s="108">
        <v>0</v>
      </c>
      <c r="L520" s="66">
        <f t="shared" si="16"/>
        <v>176000</v>
      </c>
      <c r="M520" s="153">
        <f>-PMT('Interface - Substantial impacts'!$I$42,'Interface - Substantial impacts'!$I$40,'DW Facility data'!L520)</f>
        <v>13706.631879478142</v>
      </c>
      <c r="N520" s="169">
        <f t="shared" si="17"/>
        <v>12390.400000000001</v>
      </c>
      <c r="O520" s="85">
        <v>60463</v>
      </c>
      <c r="P520" s="81">
        <v>1640</v>
      </c>
      <c r="V520" s="103" t="s">
        <v>1928</v>
      </c>
      <c r="W520" s="68">
        <v>238</v>
      </c>
    </row>
    <row r="521" spans="1:23" x14ac:dyDescent="0.25">
      <c r="A521" s="40">
        <v>1640003</v>
      </c>
      <c r="B521" s="40" t="s">
        <v>1662</v>
      </c>
      <c r="C521" s="68">
        <v>792</v>
      </c>
      <c r="D521" s="111">
        <v>432</v>
      </c>
      <c r="E521" s="40">
        <v>340000</v>
      </c>
      <c r="F521" s="43">
        <v>4820800</v>
      </c>
      <c r="K521" s="108">
        <v>4820800</v>
      </c>
      <c r="L521" s="66">
        <f t="shared" si="16"/>
        <v>2720000</v>
      </c>
      <c r="M521" s="153">
        <f>-PMT('Interface - Substantial impacts'!$I$42,'Interface - Substantial impacts'!$I$40,'DW Facility data'!L521)</f>
        <v>211829.76541011676</v>
      </c>
      <c r="N521" s="169">
        <f t="shared" si="17"/>
        <v>191488</v>
      </c>
      <c r="O521" s="85">
        <v>140445</v>
      </c>
      <c r="P521" s="81">
        <v>29869</v>
      </c>
      <c r="V521" s="103" t="s">
        <v>1169</v>
      </c>
      <c r="W521" s="68">
        <v>2577</v>
      </c>
    </row>
    <row r="522" spans="1:23" x14ac:dyDescent="0.25">
      <c r="A522" s="40">
        <v>1640004</v>
      </c>
      <c r="B522" s="40" t="s">
        <v>1113</v>
      </c>
      <c r="C522" s="68">
        <v>214</v>
      </c>
      <c r="D522" s="111">
        <v>88</v>
      </c>
      <c r="E522" s="40">
        <v>30000</v>
      </c>
      <c r="K522" s="108">
        <v>0</v>
      </c>
      <c r="L522" s="66">
        <f t="shared" si="16"/>
        <v>240000</v>
      </c>
      <c r="M522" s="153">
        <f>-PMT('Interface - Substantial impacts'!$I$42,'Interface - Substantial impacts'!$I$40,'DW Facility data'!L522)</f>
        <v>18690.861653833828</v>
      </c>
      <c r="N522" s="169">
        <f t="shared" si="17"/>
        <v>16896</v>
      </c>
      <c r="O522" s="85">
        <v>65472</v>
      </c>
      <c r="P522" s="81">
        <v>18368</v>
      </c>
      <c r="V522" s="103" t="s">
        <v>1171</v>
      </c>
      <c r="W522" s="68">
        <v>229</v>
      </c>
    </row>
    <row r="523" spans="1:23" x14ac:dyDescent="0.25">
      <c r="A523" s="40">
        <v>1640005</v>
      </c>
      <c r="B523" s="40" t="s">
        <v>1858</v>
      </c>
      <c r="C523" s="68">
        <v>259</v>
      </c>
      <c r="D523" s="111">
        <v>109</v>
      </c>
      <c r="E523" s="40">
        <v>40000</v>
      </c>
      <c r="K523" s="108">
        <v>0</v>
      </c>
      <c r="L523" s="66">
        <f t="shared" si="16"/>
        <v>320000</v>
      </c>
      <c r="M523" s="153">
        <f>-PMT('Interface - Substantial impacts'!$I$42,'Interface - Substantial impacts'!$I$40,'DW Facility data'!L523)</f>
        <v>24921.148871778441</v>
      </c>
      <c r="N523" s="169">
        <f t="shared" si="17"/>
        <v>22528</v>
      </c>
      <c r="O523" s="85">
        <v>70126</v>
      </c>
      <c r="P523" s="81">
        <v>33904</v>
      </c>
      <c r="V523" s="103" t="s">
        <v>1849</v>
      </c>
      <c r="W523" s="68">
        <v>479</v>
      </c>
    </row>
    <row r="524" spans="1:23" x14ac:dyDescent="0.25">
      <c r="A524" s="40">
        <v>1640006</v>
      </c>
      <c r="B524" s="40" t="s">
        <v>1139</v>
      </c>
      <c r="C524" s="68">
        <v>888</v>
      </c>
      <c r="D524" s="111">
        <v>404</v>
      </c>
      <c r="E524" s="40">
        <v>182000</v>
      </c>
      <c r="F524" s="43">
        <v>2650000</v>
      </c>
      <c r="K524" s="108">
        <v>2650000</v>
      </c>
      <c r="L524" s="66">
        <f t="shared" si="16"/>
        <v>1456000</v>
      </c>
      <c r="M524" s="153">
        <f>-PMT('Interface - Substantial impacts'!$I$42,'Interface - Substantial impacts'!$I$40,'DW Facility data'!L524)</f>
        <v>113391.22736659189</v>
      </c>
      <c r="N524" s="169">
        <f t="shared" si="17"/>
        <v>102502.40000000001</v>
      </c>
      <c r="O524" s="85">
        <v>166748</v>
      </c>
      <c r="P524" s="81">
        <v>4594066</v>
      </c>
      <c r="V524" s="103" t="s">
        <v>1676</v>
      </c>
      <c r="W524" s="68">
        <v>2395</v>
      </c>
    </row>
    <row r="525" spans="1:23" x14ac:dyDescent="0.25">
      <c r="A525" s="40">
        <v>1640008</v>
      </c>
      <c r="B525" s="40" t="s">
        <v>1190</v>
      </c>
      <c r="C525" s="68">
        <v>5102</v>
      </c>
      <c r="D525" s="112">
        <v>2410</v>
      </c>
      <c r="E525" s="40">
        <v>1300000</v>
      </c>
      <c r="K525" s="108">
        <v>0</v>
      </c>
      <c r="L525" s="66">
        <f t="shared" si="16"/>
        <v>10400000</v>
      </c>
      <c r="M525" s="153">
        <f>-PMT('Interface - Substantial impacts'!$I$42,'Interface - Substantial impacts'!$I$40,'DW Facility data'!L525)</f>
        <v>809937.33833279938</v>
      </c>
      <c r="N525" s="169">
        <f t="shared" si="17"/>
        <v>732160</v>
      </c>
      <c r="O525" s="85">
        <v>1134457</v>
      </c>
      <c r="P525" s="81">
        <v>702417</v>
      </c>
      <c r="V525" s="103" t="s">
        <v>1498</v>
      </c>
      <c r="W525" s="68">
        <v>3512</v>
      </c>
    </row>
    <row r="526" spans="1:23" x14ac:dyDescent="0.25">
      <c r="A526" s="40">
        <v>1640010</v>
      </c>
      <c r="B526" s="40" t="s">
        <v>1955</v>
      </c>
      <c r="C526" s="68">
        <v>89</v>
      </c>
      <c r="D526" s="111">
        <v>34</v>
      </c>
      <c r="E526" s="40">
        <v>40000</v>
      </c>
      <c r="K526" s="108">
        <v>0</v>
      </c>
      <c r="L526" s="66">
        <f t="shared" si="16"/>
        <v>320000</v>
      </c>
      <c r="M526" s="153">
        <f>-PMT('Interface - Substantial impacts'!$I$42,'Interface - Substantial impacts'!$I$40,'DW Facility data'!L526)</f>
        <v>24921.148871778441</v>
      </c>
      <c r="N526" s="169">
        <f t="shared" si="17"/>
        <v>22528</v>
      </c>
      <c r="O526" s="85">
        <v>21451</v>
      </c>
      <c r="P526" s="81">
        <v>0</v>
      </c>
      <c r="V526" s="103" t="s">
        <v>1494</v>
      </c>
      <c r="W526" s="68">
        <v>113</v>
      </c>
    </row>
    <row r="527" spans="1:23" x14ac:dyDescent="0.25">
      <c r="A527" s="40">
        <v>1640011</v>
      </c>
      <c r="B527" s="40" t="s">
        <v>1646</v>
      </c>
      <c r="C527" s="68">
        <v>323</v>
      </c>
      <c r="D527" s="111">
        <v>187</v>
      </c>
      <c r="E527" s="40">
        <v>100000</v>
      </c>
      <c r="K527" s="108">
        <v>0</v>
      </c>
      <c r="L527" s="66">
        <f t="shared" si="16"/>
        <v>800000</v>
      </c>
      <c r="M527" s="153">
        <f>-PMT('Interface - Substantial impacts'!$I$42,'Interface - Substantial impacts'!$I$40,'DW Facility data'!L527)</f>
        <v>62302.872179446102</v>
      </c>
      <c r="N527" s="169">
        <f t="shared" si="17"/>
        <v>56320</v>
      </c>
      <c r="O527" s="85">
        <v>78083</v>
      </c>
      <c r="P527" s="81">
        <v>61247</v>
      </c>
      <c r="V527" s="103" t="s">
        <v>1576</v>
      </c>
      <c r="W527" s="68">
        <v>234</v>
      </c>
    </row>
    <row r="528" spans="1:23" x14ac:dyDescent="0.25">
      <c r="A528" s="40">
        <v>1640012</v>
      </c>
      <c r="B528" s="40" t="s">
        <v>2004</v>
      </c>
      <c r="C528" s="68">
        <v>276</v>
      </c>
      <c r="D528" s="111">
        <v>133</v>
      </c>
      <c r="E528" s="40">
        <v>64000</v>
      </c>
      <c r="K528" s="108">
        <v>0</v>
      </c>
      <c r="L528" s="66">
        <f t="shared" si="16"/>
        <v>512000</v>
      </c>
      <c r="M528" s="153">
        <f>-PMT('Interface - Substantial impacts'!$I$42,'Interface - Substantial impacts'!$I$40,'DW Facility data'!L528)</f>
        <v>39873.838194845499</v>
      </c>
      <c r="N528" s="169">
        <f t="shared" si="17"/>
        <v>36044.800000000003</v>
      </c>
      <c r="O528" s="85">
        <v>113065</v>
      </c>
      <c r="P528" s="81">
        <v>32911</v>
      </c>
      <c r="V528" s="103" t="s">
        <v>1760</v>
      </c>
      <c r="W528" s="68">
        <v>507</v>
      </c>
    </row>
    <row r="529" spans="1:23" x14ac:dyDescent="0.25">
      <c r="A529" s="40">
        <v>1640013</v>
      </c>
      <c r="B529" s="40" t="s">
        <v>1230</v>
      </c>
      <c r="C529" s="68">
        <v>739</v>
      </c>
      <c r="D529" s="111">
        <v>350</v>
      </c>
      <c r="E529" s="40">
        <v>152000</v>
      </c>
      <c r="K529" s="108">
        <v>0</v>
      </c>
      <c r="L529" s="66">
        <f t="shared" si="16"/>
        <v>1216000</v>
      </c>
      <c r="M529" s="153">
        <f>-PMT('Interface - Substantial impacts'!$I$42,'Interface - Substantial impacts'!$I$40,'DW Facility data'!L529)</f>
        <v>94700.365712758066</v>
      </c>
      <c r="N529" s="169">
        <f t="shared" si="17"/>
        <v>85606.400000000009</v>
      </c>
      <c r="O529" s="85">
        <v>206694</v>
      </c>
      <c r="P529" s="81">
        <v>83816</v>
      </c>
      <c r="V529" s="103" t="s">
        <v>1797</v>
      </c>
      <c r="W529" s="68">
        <v>3130</v>
      </c>
    </row>
    <row r="530" spans="1:23" x14ac:dyDescent="0.25">
      <c r="A530" s="40">
        <v>1640014</v>
      </c>
      <c r="B530" s="40" t="s">
        <v>1236</v>
      </c>
      <c r="C530" s="68">
        <v>751</v>
      </c>
      <c r="D530" s="111">
        <v>379</v>
      </c>
      <c r="E530" s="40">
        <v>130000</v>
      </c>
      <c r="K530" s="108">
        <v>0</v>
      </c>
      <c r="L530" s="66">
        <f t="shared" si="16"/>
        <v>1040000</v>
      </c>
      <c r="M530" s="153">
        <f>-PMT('Interface - Substantial impacts'!$I$42,'Interface - Substantial impacts'!$I$40,'DW Facility data'!L530)</f>
        <v>80993.733833279926</v>
      </c>
      <c r="N530" s="169">
        <f t="shared" si="17"/>
        <v>73216</v>
      </c>
      <c r="O530" s="85">
        <v>114108</v>
      </c>
      <c r="P530" s="81">
        <v>325876</v>
      </c>
      <c r="V530" s="103" t="s">
        <v>1173</v>
      </c>
      <c r="W530" s="68">
        <v>3769</v>
      </c>
    </row>
    <row r="531" spans="1:23" x14ac:dyDescent="0.25">
      <c r="A531" s="40">
        <v>1640015</v>
      </c>
      <c r="B531" s="40" t="s">
        <v>1655</v>
      </c>
      <c r="C531" s="68">
        <v>72</v>
      </c>
      <c r="D531" s="111">
        <v>61</v>
      </c>
      <c r="E531" s="40">
        <v>28000</v>
      </c>
      <c r="K531" s="108">
        <v>0</v>
      </c>
      <c r="L531" s="66">
        <f t="shared" si="16"/>
        <v>224000</v>
      </c>
      <c r="M531" s="153">
        <f>-PMT('Interface - Substantial impacts'!$I$42,'Interface - Substantial impacts'!$I$40,'DW Facility data'!L531)</f>
        <v>17444.804210244907</v>
      </c>
      <c r="N531" s="169">
        <f t="shared" si="17"/>
        <v>15769.6</v>
      </c>
      <c r="O531" s="85">
        <v>11985</v>
      </c>
      <c r="P531" s="81">
        <v>0</v>
      </c>
      <c r="V531" s="103" t="s">
        <v>1722</v>
      </c>
      <c r="W531" s="68">
        <v>911</v>
      </c>
    </row>
    <row r="532" spans="1:23" x14ac:dyDescent="0.25">
      <c r="A532" s="40">
        <v>1640018</v>
      </c>
      <c r="B532" s="40" t="s">
        <v>2035</v>
      </c>
      <c r="C532" s="68">
        <v>82</v>
      </c>
      <c r="D532" s="111">
        <v>35</v>
      </c>
      <c r="E532" s="109" t="s">
        <v>1457</v>
      </c>
      <c r="F532" s="109"/>
      <c r="G532" s="109"/>
      <c r="H532" s="109"/>
      <c r="I532" s="109"/>
      <c r="J532" s="109"/>
      <c r="K532" s="108">
        <v>0</v>
      </c>
      <c r="L532" s="66" t="e">
        <f t="shared" si="16"/>
        <v>#VALUE!</v>
      </c>
      <c r="M532" s="153" t="e">
        <f>-PMT('Interface - Substantial impacts'!$I$42,'Interface - Substantial impacts'!$I$40,'DW Facility data'!L532)</f>
        <v>#VALUE!</v>
      </c>
      <c r="N532" s="169" t="e">
        <f t="shared" si="17"/>
        <v>#VALUE!</v>
      </c>
      <c r="O532" s="85">
        <v>28911</v>
      </c>
      <c r="P532" s="81">
        <v>8061</v>
      </c>
      <c r="V532" s="103" t="s">
        <v>1175</v>
      </c>
      <c r="W532" s="68">
        <v>4215</v>
      </c>
    </row>
    <row r="533" spans="1:23" x14ac:dyDescent="0.25">
      <c r="A533" s="40">
        <v>1650001</v>
      </c>
      <c r="B533" s="40" t="s">
        <v>1895</v>
      </c>
      <c r="C533" s="68">
        <v>1005</v>
      </c>
      <c r="D533" s="111">
        <v>514</v>
      </c>
      <c r="E533" s="40">
        <v>140000</v>
      </c>
      <c r="K533" s="108">
        <v>0</v>
      </c>
      <c r="L533" s="66">
        <f t="shared" si="16"/>
        <v>1120000</v>
      </c>
      <c r="M533" s="153">
        <f>-PMT('Interface - Substantial impacts'!$I$42,'Interface - Substantial impacts'!$I$40,'DW Facility data'!L533)</f>
        <v>87224.021051224539</v>
      </c>
      <c r="N533" s="169">
        <f t="shared" si="17"/>
        <v>78848</v>
      </c>
      <c r="O533" s="85">
        <v>276958</v>
      </c>
      <c r="P533" s="81">
        <v>209182</v>
      </c>
      <c r="V533" s="103" t="s">
        <v>1178</v>
      </c>
      <c r="W533" s="68">
        <v>3483</v>
      </c>
    </row>
    <row r="534" spans="1:23" x14ac:dyDescent="0.25">
      <c r="A534" s="40">
        <v>1650003</v>
      </c>
      <c r="B534" s="40" t="s">
        <v>1677</v>
      </c>
      <c r="C534" s="68">
        <v>660</v>
      </c>
      <c r="D534" s="111">
        <v>301</v>
      </c>
      <c r="E534" s="40">
        <v>175000</v>
      </c>
      <c r="K534" s="108">
        <v>0</v>
      </c>
      <c r="L534" s="66">
        <f t="shared" si="16"/>
        <v>1400000</v>
      </c>
      <c r="M534" s="153">
        <f>-PMT('Interface - Substantial impacts'!$I$42,'Interface - Substantial impacts'!$I$40,'DW Facility data'!L534)</f>
        <v>109030.02631403068</v>
      </c>
      <c r="N534" s="169">
        <f t="shared" si="17"/>
        <v>98560</v>
      </c>
      <c r="O534" s="85">
        <v>191753</v>
      </c>
      <c r="P534" s="81">
        <v>71787</v>
      </c>
      <c r="V534" s="103" t="s">
        <v>1778</v>
      </c>
      <c r="W534" s="68">
        <v>329</v>
      </c>
    </row>
    <row r="535" spans="1:23" x14ac:dyDescent="0.25">
      <c r="A535" s="40">
        <v>1650004</v>
      </c>
      <c r="B535" s="40" t="s">
        <v>1621</v>
      </c>
      <c r="C535" s="68">
        <v>458</v>
      </c>
      <c r="D535" s="111">
        <v>213</v>
      </c>
      <c r="E535" s="40">
        <v>65000</v>
      </c>
      <c r="F535" s="43">
        <v>1393500</v>
      </c>
      <c r="K535" s="108">
        <v>1393500</v>
      </c>
      <c r="L535" s="66">
        <f t="shared" si="16"/>
        <v>520000</v>
      </c>
      <c r="M535" s="153">
        <f>-PMT('Interface - Substantial impacts'!$I$42,'Interface - Substantial impacts'!$I$40,'DW Facility data'!L535)</f>
        <v>40496.866916639963</v>
      </c>
      <c r="N535" s="169">
        <f t="shared" si="17"/>
        <v>36608</v>
      </c>
      <c r="O535" s="85">
        <v>77409</v>
      </c>
      <c r="P535" s="81">
        <v>0</v>
      </c>
      <c r="V535" s="103" t="s">
        <v>1716</v>
      </c>
      <c r="W535" s="68">
        <v>276</v>
      </c>
    </row>
    <row r="536" spans="1:23" x14ac:dyDescent="0.25">
      <c r="A536" s="40">
        <v>1650005</v>
      </c>
      <c r="B536" s="40" t="s">
        <v>1531</v>
      </c>
      <c r="C536" s="68">
        <v>1250</v>
      </c>
      <c r="D536" s="111">
        <v>493</v>
      </c>
      <c r="E536" s="40">
        <v>265000</v>
      </c>
      <c r="K536" s="108">
        <v>0</v>
      </c>
      <c r="L536" s="66">
        <f t="shared" si="16"/>
        <v>2120000</v>
      </c>
      <c r="M536" s="153">
        <f>-PMT('Interface - Substantial impacts'!$I$42,'Interface - Substantial impacts'!$I$40,'DW Facility data'!L536)</f>
        <v>165102.61127553217</v>
      </c>
      <c r="N536" s="169">
        <f t="shared" si="17"/>
        <v>149248</v>
      </c>
      <c r="O536" s="85">
        <v>297019</v>
      </c>
      <c r="P536" s="81">
        <v>41807</v>
      </c>
      <c r="V536" s="103" t="s">
        <v>1463</v>
      </c>
      <c r="W536" s="68">
        <v>81026</v>
      </c>
    </row>
    <row r="537" spans="1:23" x14ac:dyDescent="0.25">
      <c r="A537" s="40">
        <v>1650006</v>
      </c>
      <c r="B537" s="40" t="s">
        <v>1059</v>
      </c>
      <c r="C537" s="68">
        <v>493</v>
      </c>
      <c r="D537" s="111">
        <v>226</v>
      </c>
      <c r="E537" s="40">
        <v>75000</v>
      </c>
      <c r="K537" s="108">
        <v>0</v>
      </c>
      <c r="L537" s="66">
        <f t="shared" si="16"/>
        <v>600000</v>
      </c>
      <c r="M537" s="153">
        <f>-PMT('Interface - Substantial impacts'!$I$42,'Interface - Substantial impacts'!$I$40,'DW Facility data'!L537)</f>
        <v>46727.154134584569</v>
      </c>
      <c r="N537" s="169">
        <f t="shared" si="17"/>
        <v>42240</v>
      </c>
      <c r="O537" s="85">
        <v>135319</v>
      </c>
      <c r="P537" s="81">
        <v>59758</v>
      </c>
      <c r="V537" s="103" t="s">
        <v>1997</v>
      </c>
      <c r="W537" s="68">
        <v>166</v>
      </c>
    </row>
    <row r="538" spans="1:23" x14ac:dyDescent="0.25">
      <c r="A538" s="40">
        <v>1650009</v>
      </c>
      <c r="B538" s="40" t="s">
        <v>1077</v>
      </c>
      <c r="C538" s="68">
        <v>1012</v>
      </c>
      <c r="D538" s="111">
        <v>561</v>
      </c>
      <c r="E538" s="40">
        <v>275000</v>
      </c>
      <c r="K538" s="108">
        <v>0</v>
      </c>
      <c r="L538" s="66">
        <f t="shared" si="16"/>
        <v>2200000</v>
      </c>
      <c r="M538" s="153">
        <f>-PMT('Interface - Substantial impacts'!$I$42,'Interface - Substantial impacts'!$I$40,'DW Facility data'!L538)</f>
        <v>171332.89849347676</v>
      </c>
      <c r="N538" s="169">
        <f t="shared" si="17"/>
        <v>154880</v>
      </c>
      <c r="O538" s="85">
        <v>492467</v>
      </c>
      <c r="P538" s="81">
        <v>179090</v>
      </c>
      <c r="V538" s="103" t="s">
        <v>1182</v>
      </c>
      <c r="W538" s="68">
        <v>1322</v>
      </c>
    </row>
    <row r="539" spans="1:23" x14ac:dyDescent="0.25">
      <c r="A539" s="40">
        <v>1650010</v>
      </c>
      <c r="B539" s="40" t="s">
        <v>1577</v>
      </c>
      <c r="C539" s="68">
        <v>410</v>
      </c>
      <c r="D539" s="111">
        <v>173</v>
      </c>
      <c r="E539" s="40">
        <v>163000</v>
      </c>
      <c r="K539" s="108">
        <v>0</v>
      </c>
      <c r="L539" s="66">
        <f t="shared" si="16"/>
        <v>1304000</v>
      </c>
      <c r="M539" s="153">
        <f>-PMT('Interface - Substantial impacts'!$I$42,'Interface - Substantial impacts'!$I$40,'DW Facility data'!L539)</f>
        <v>101553.68165249714</v>
      </c>
      <c r="N539" s="169">
        <f t="shared" si="17"/>
        <v>91801.600000000006</v>
      </c>
      <c r="O539" s="85">
        <v>62321</v>
      </c>
      <c r="P539" s="81">
        <v>41530</v>
      </c>
      <c r="V539" s="103" t="s">
        <v>1810</v>
      </c>
      <c r="W539" s="68">
        <v>4819</v>
      </c>
    </row>
    <row r="540" spans="1:23" x14ac:dyDescent="0.25">
      <c r="A540" s="40">
        <v>1650011</v>
      </c>
      <c r="B540" s="40" t="s">
        <v>1161</v>
      </c>
      <c r="C540" s="68">
        <v>2343</v>
      </c>
      <c r="D540" s="112">
        <v>1257</v>
      </c>
      <c r="E540" s="40">
        <v>750000</v>
      </c>
      <c r="K540" s="108">
        <v>0</v>
      </c>
      <c r="L540" s="66">
        <f t="shared" si="16"/>
        <v>6000000</v>
      </c>
      <c r="M540" s="153">
        <f>-PMT('Interface - Substantial impacts'!$I$42,'Interface - Substantial impacts'!$I$40,'DW Facility data'!L540)</f>
        <v>467271.54134584573</v>
      </c>
      <c r="N540" s="169">
        <f t="shared" si="17"/>
        <v>422400</v>
      </c>
      <c r="O540" s="85">
        <v>568199</v>
      </c>
      <c r="P540" s="81">
        <v>187658</v>
      </c>
      <c r="V540" s="103" t="s">
        <v>1184</v>
      </c>
      <c r="W540" s="68">
        <v>520</v>
      </c>
    </row>
    <row r="541" spans="1:23" x14ac:dyDescent="0.25">
      <c r="A541" s="40">
        <v>1650012</v>
      </c>
      <c r="B541" s="40" t="s">
        <v>1192</v>
      </c>
      <c r="C541" s="68">
        <v>1301</v>
      </c>
      <c r="D541" s="111">
        <v>631</v>
      </c>
      <c r="E541" s="40">
        <v>500000</v>
      </c>
      <c r="K541" s="108">
        <v>0</v>
      </c>
      <c r="L541" s="66">
        <f t="shared" si="16"/>
        <v>4000000</v>
      </c>
      <c r="M541" s="153">
        <f>-PMT('Interface - Substantial impacts'!$I$42,'Interface - Substantial impacts'!$I$40,'DW Facility data'!L541)</f>
        <v>311514.36089723051</v>
      </c>
      <c r="N541" s="169">
        <f t="shared" si="17"/>
        <v>281600</v>
      </c>
      <c r="O541" s="85">
        <v>266614</v>
      </c>
      <c r="P541" s="81">
        <v>15000</v>
      </c>
      <c r="V541" s="103" t="s">
        <v>1847</v>
      </c>
      <c r="W541" s="68">
        <v>27617</v>
      </c>
    </row>
    <row r="542" spans="1:23" x14ac:dyDescent="0.25">
      <c r="A542" s="40">
        <v>1650013</v>
      </c>
      <c r="B542" s="108" t="s">
        <v>1200</v>
      </c>
      <c r="C542" s="68">
        <v>510</v>
      </c>
      <c r="D542" s="111">
        <v>305</v>
      </c>
      <c r="E542" s="40">
        <v>70000</v>
      </c>
      <c r="F542" s="43">
        <v>2800000</v>
      </c>
      <c r="K542" s="108">
        <v>2800000</v>
      </c>
      <c r="L542" s="66">
        <f t="shared" si="16"/>
        <v>560000</v>
      </c>
      <c r="M542" s="153">
        <f>-PMT('Interface - Substantial impacts'!$I$42,'Interface - Substantial impacts'!$I$40,'DW Facility data'!L542)</f>
        <v>43612.01052561227</v>
      </c>
      <c r="N542" s="169">
        <f t="shared" si="17"/>
        <v>39424</v>
      </c>
      <c r="O542" s="104">
        <v>209829</v>
      </c>
      <c r="P542" s="81">
        <v>37725</v>
      </c>
      <c r="V542" s="109"/>
      <c r="W542" s="69"/>
    </row>
    <row r="543" spans="1:23" x14ac:dyDescent="0.25">
      <c r="A543" s="40">
        <v>1660002</v>
      </c>
      <c r="B543" s="40" t="s">
        <v>1053</v>
      </c>
      <c r="C543" s="68">
        <v>24453</v>
      </c>
      <c r="D543" s="112">
        <v>9207</v>
      </c>
      <c r="E543" s="40">
        <v>5450000</v>
      </c>
      <c r="K543" s="108">
        <v>0</v>
      </c>
      <c r="L543" s="66">
        <f t="shared" si="16"/>
        <v>43600000</v>
      </c>
      <c r="M543" s="153">
        <f>-PMT('Interface - Substantial impacts'!$I$42,'Interface - Substantial impacts'!$I$40,'DW Facility data'!L543)</f>
        <v>3395506.533779812</v>
      </c>
      <c r="N543" s="169">
        <f t="shared" si="17"/>
        <v>3069440</v>
      </c>
      <c r="O543" s="85">
        <v>2173882</v>
      </c>
      <c r="P543" s="81">
        <v>555726</v>
      </c>
      <c r="V543" s="103" t="s">
        <v>1552</v>
      </c>
      <c r="W543" s="68">
        <v>458</v>
      </c>
    </row>
    <row r="544" spans="1:23" x14ac:dyDescent="0.25">
      <c r="A544" s="40">
        <v>1660006</v>
      </c>
      <c r="B544" s="40" t="s">
        <v>1111</v>
      </c>
      <c r="C544" s="68">
        <v>4686</v>
      </c>
      <c r="D544" s="112">
        <v>1377</v>
      </c>
      <c r="E544" s="40">
        <v>677000</v>
      </c>
      <c r="K544" s="108">
        <v>0</v>
      </c>
      <c r="L544" s="66">
        <f t="shared" si="16"/>
        <v>5416000</v>
      </c>
      <c r="M544" s="153">
        <f>-PMT('Interface - Substantial impacts'!$I$42,'Interface - Substantial impacts'!$I$40,'DW Facility data'!L544)</f>
        <v>421790.44465485011</v>
      </c>
      <c r="N544" s="169">
        <f t="shared" si="17"/>
        <v>381286.40000000002</v>
      </c>
      <c r="O544" s="85">
        <v>677900</v>
      </c>
      <c r="P544" s="81">
        <v>256812</v>
      </c>
      <c r="V544" s="103" t="s">
        <v>1634</v>
      </c>
      <c r="W544" s="68">
        <v>27646</v>
      </c>
    </row>
    <row r="545" spans="1:23" x14ac:dyDescent="0.25">
      <c r="A545" s="40">
        <v>1660007</v>
      </c>
      <c r="B545" s="40" t="s">
        <v>1539</v>
      </c>
      <c r="C545" s="68">
        <v>949</v>
      </c>
      <c r="D545" s="111">
        <v>434</v>
      </c>
      <c r="E545" s="40">
        <v>131000</v>
      </c>
      <c r="F545" s="43">
        <v>1254000</v>
      </c>
      <c r="K545" s="108">
        <v>1254000</v>
      </c>
      <c r="L545" s="66">
        <f t="shared" si="16"/>
        <v>1048000</v>
      </c>
      <c r="M545" s="153">
        <f>-PMT('Interface - Substantial impacts'!$I$42,'Interface - Substantial impacts'!$I$40,'DW Facility data'!L545)</f>
        <v>81616.762555074383</v>
      </c>
      <c r="N545" s="169">
        <f t="shared" si="17"/>
        <v>73779.200000000012</v>
      </c>
      <c r="O545" s="85">
        <v>70786</v>
      </c>
      <c r="P545" s="81">
        <v>0</v>
      </c>
      <c r="V545" s="103" t="s">
        <v>1824</v>
      </c>
      <c r="W545" s="68">
        <v>607</v>
      </c>
    </row>
    <row r="546" spans="1:23" x14ac:dyDescent="0.25">
      <c r="A546" s="40">
        <v>1660009</v>
      </c>
      <c r="B546" s="40" t="s">
        <v>1149</v>
      </c>
      <c r="C546" s="68">
        <v>273</v>
      </c>
      <c r="D546" s="111">
        <v>140</v>
      </c>
      <c r="E546" s="40">
        <v>50000</v>
      </c>
      <c r="K546" s="108">
        <v>0</v>
      </c>
      <c r="L546" s="66">
        <f t="shared" si="16"/>
        <v>400000</v>
      </c>
      <c r="M546" s="153">
        <f>-PMT('Interface - Substantial impacts'!$I$42,'Interface - Substantial impacts'!$I$40,'DW Facility data'!L546)</f>
        <v>31151.436089723051</v>
      </c>
      <c r="N546" s="169">
        <f t="shared" si="17"/>
        <v>28160</v>
      </c>
      <c r="O546" s="85">
        <v>40433</v>
      </c>
      <c r="P546" s="81">
        <v>0</v>
      </c>
      <c r="V546" s="103" t="s">
        <v>1690</v>
      </c>
      <c r="W546" s="68">
        <v>466</v>
      </c>
    </row>
    <row r="547" spans="1:23" x14ac:dyDescent="0.25">
      <c r="A547" s="40">
        <v>1660010</v>
      </c>
      <c r="B547" s="40" t="s">
        <v>1540</v>
      </c>
      <c r="C547" s="68">
        <v>20790</v>
      </c>
      <c r="D547" s="112">
        <v>6650</v>
      </c>
      <c r="E547" s="40">
        <v>3285000</v>
      </c>
      <c r="K547" s="108">
        <v>0</v>
      </c>
      <c r="L547" s="66">
        <f t="shared" si="16"/>
        <v>26280000</v>
      </c>
      <c r="M547" s="153">
        <f>-PMT('Interface - Substantial impacts'!$I$42,'Interface - Substantial impacts'!$I$40,'DW Facility data'!L547)</f>
        <v>2046649.3510948042</v>
      </c>
      <c r="N547" s="169">
        <f t="shared" si="17"/>
        <v>1850112</v>
      </c>
      <c r="O547" s="85">
        <v>1726507</v>
      </c>
      <c r="P547" s="81">
        <v>2871</v>
      </c>
      <c r="V547" s="103" t="s">
        <v>1937</v>
      </c>
      <c r="W547" s="68">
        <v>569</v>
      </c>
    </row>
    <row r="548" spans="1:23" x14ac:dyDescent="0.25">
      <c r="A548" s="40">
        <v>1660015</v>
      </c>
      <c r="B548" s="40" t="s">
        <v>1697</v>
      </c>
      <c r="C548" s="68">
        <v>1712</v>
      </c>
      <c r="D548" s="111">
        <v>660</v>
      </c>
      <c r="E548" s="40">
        <v>85000</v>
      </c>
      <c r="K548" s="108">
        <v>0</v>
      </c>
      <c r="L548" s="66">
        <f t="shared" si="16"/>
        <v>680000</v>
      </c>
      <c r="M548" s="153">
        <f>-PMT('Interface - Substantial impacts'!$I$42,'Interface - Substantial impacts'!$I$40,'DW Facility data'!L548)</f>
        <v>52957.441352529189</v>
      </c>
      <c r="N548" s="169">
        <f t="shared" si="17"/>
        <v>47872</v>
      </c>
      <c r="O548" s="85">
        <v>482559</v>
      </c>
      <c r="P548" s="81">
        <v>164375</v>
      </c>
      <c r="V548" s="103" t="s">
        <v>1806</v>
      </c>
      <c r="W548" s="68">
        <v>782</v>
      </c>
    </row>
    <row r="549" spans="1:23" x14ac:dyDescent="0.25">
      <c r="A549" s="40">
        <v>1670001</v>
      </c>
      <c r="B549" s="108" t="s">
        <v>1666</v>
      </c>
      <c r="C549" s="68">
        <v>280</v>
      </c>
      <c r="D549" s="111">
        <v>151</v>
      </c>
      <c r="E549" s="40">
        <v>30000</v>
      </c>
      <c r="K549" s="108">
        <v>0</v>
      </c>
      <c r="L549" s="66">
        <f t="shared" si="16"/>
        <v>240000</v>
      </c>
      <c r="M549" s="153">
        <f>-PMT('Interface - Substantial impacts'!$I$42,'Interface - Substantial impacts'!$I$40,'DW Facility data'!L549)</f>
        <v>18690.861653833828</v>
      </c>
      <c r="N549" s="169">
        <f t="shared" si="17"/>
        <v>16896</v>
      </c>
      <c r="O549" s="104">
        <v>44524</v>
      </c>
      <c r="P549" s="81">
        <v>0</v>
      </c>
      <c r="V549" s="109"/>
      <c r="W549" s="69"/>
    </row>
    <row r="550" spans="1:23" x14ac:dyDescent="0.25">
      <c r="A550" s="40">
        <v>1670002</v>
      </c>
      <c r="B550" s="40" t="s">
        <v>1980</v>
      </c>
      <c r="C550" s="68">
        <v>189</v>
      </c>
      <c r="D550" s="111">
        <v>121</v>
      </c>
      <c r="E550" s="40">
        <v>25000</v>
      </c>
      <c r="K550" s="108">
        <v>0</v>
      </c>
      <c r="L550" s="66">
        <f t="shared" si="16"/>
        <v>200000</v>
      </c>
      <c r="M550" s="153">
        <f>-PMT('Interface - Substantial impacts'!$I$42,'Interface - Substantial impacts'!$I$40,'DW Facility data'!L550)</f>
        <v>15575.718044861525</v>
      </c>
      <c r="N550" s="169">
        <f t="shared" si="17"/>
        <v>14080</v>
      </c>
      <c r="O550" s="85">
        <v>19263</v>
      </c>
      <c r="P550" s="81">
        <v>9914</v>
      </c>
      <c r="V550" s="103" t="s">
        <v>1186</v>
      </c>
      <c r="W550" s="68">
        <v>1339</v>
      </c>
    </row>
    <row r="551" spans="1:23" x14ac:dyDescent="0.25">
      <c r="A551" s="40">
        <v>1670003</v>
      </c>
      <c r="B551" s="108" t="s">
        <v>1947</v>
      </c>
      <c r="C551" s="68">
        <v>686</v>
      </c>
      <c r="D551" s="111">
        <v>368</v>
      </c>
      <c r="E551" s="40">
        <v>123000</v>
      </c>
      <c r="K551" s="108">
        <v>0</v>
      </c>
      <c r="L551" s="66">
        <f t="shared" si="16"/>
        <v>984000</v>
      </c>
      <c r="M551" s="153">
        <f>-PMT('Interface - Substantial impacts'!$I$42,'Interface - Substantial impacts'!$I$40,'DW Facility data'!L551)</f>
        <v>76632.532780718699</v>
      </c>
      <c r="N551" s="169">
        <f t="shared" si="17"/>
        <v>69273.600000000006</v>
      </c>
      <c r="O551" s="104">
        <v>111803</v>
      </c>
      <c r="P551" s="81">
        <v>0</v>
      </c>
      <c r="V551" s="109"/>
      <c r="W551" s="69"/>
    </row>
    <row r="552" spans="1:23" x14ac:dyDescent="0.25">
      <c r="A552" s="40">
        <v>1670004</v>
      </c>
      <c r="B552" s="40" t="s">
        <v>1115</v>
      </c>
      <c r="C552" s="68">
        <v>4946</v>
      </c>
      <c r="D552" s="112">
        <v>2114</v>
      </c>
      <c r="E552" s="40">
        <v>1400000</v>
      </c>
      <c r="K552" s="108">
        <v>0</v>
      </c>
      <c r="L552" s="66">
        <f t="shared" si="16"/>
        <v>11200000</v>
      </c>
      <c r="M552" s="153">
        <f>-PMT('Interface - Substantial impacts'!$I$42,'Interface - Substantial impacts'!$I$40,'DW Facility data'!L552)</f>
        <v>872240.21051224542</v>
      </c>
      <c r="N552" s="169">
        <f t="shared" si="17"/>
        <v>788480</v>
      </c>
      <c r="O552" s="85">
        <v>1308445</v>
      </c>
      <c r="P552" s="81">
        <v>433707</v>
      </c>
      <c r="V552" s="103" t="s">
        <v>1188</v>
      </c>
      <c r="W552" s="68">
        <v>16547</v>
      </c>
    </row>
    <row r="553" spans="1:23" x14ac:dyDescent="0.25">
      <c r="A553" s="40">
        <v>1670005</v>
      </c>
      <c r="B553" s="40" t="s">
        <v>1983</v>
      </c>
      <c r="C553" s="68">
        <v>196</v>
      </c>
      <c r="D553" s="111">
        <v>105</v>
      </c>
      <c r="E553" s="40">
        <v>50000</v>
      </c>
      <c r="K553" s="108">
        <v>0</v>
      </c>
      <c r="L553" s="66">
        <f t="shared" si="16"/>
        <v>400000</v>
      </c>
      <c r="M553" s="153">
        <f>-PMT('Interface - Substantial impacts'!$I$42,'Interface - Substantial impacts'!$I$40,'DW Facility data'!L553)</f>
        <v>31151.436089723051</v>
      </c>
      <c r="N553" s="169">
        <f t="shared" si="17"/>
        <v>28160</v>
      </c>
      <c r="O553" s="85">
        <v>26904</v>
      </c>
      <c r="P553" s="81">
        <v>0</v>
      </c>
      <c r="V553" s="103" t="s">
        <v>1190</v>
      </c>
      <c r="W553" s="68">
        <v>5102</v>
      </c>
    </row>
    <row r="554" spans="1:23" x14ac:dyDescent="0.25">
      <c r="A554" s="40">
        <v>1670006</v>
      </c>
      <c r="B554" s="40" t="s">
        <v>1975</v>
      </c>
      <c r="C554" s="68">
        <v>171</v>
      </c>
      <c r="D554" s="111">
        <v>68</v>
      </c>
      <c r="E554" s="40">
        <v>15000</v>
      </c>
      <c r="K554" s="108">
        <v>0</v>
      </c>
      <c r="L554" s="66">
        <f t="shared" si="16"/>
        <v>120000</v>
      </c>
      <c r="M554" s="153">
        <f>-PMT('Interface - Substantial impacts'!$I$42,'Interface - Substantial impacts'!$I$40,'DW Facility data'!L554)</f>
        <v>9345.4308269169142</v>
      </c>
      <c r="N554" s="169">
        <f t="shared" si="17"/>
        <v>8448</v>
      </c>
      <c r="O554" s="85">
        <v>15964</v>
      </c>
      <c r="P554" s="81">
        <v>1224</v>
      </c>
      <c r="V554" s="103" t="s">
        <v>1864</v>
      </c>
      <c r="W554" s="68">
        <v>391</v>
      </c>
    </row>
    <row r="555" spans="1:23" x14ac:dyDescent="0.25">
      <c r="A555" s="40">
        <v>1670007</v>
      </c>
      <c r="B555" s="109" t="s">
        <v>1579</v>
      </c>
      <c r="C555" s="69"/>
      <c r="D555" s="113"/>
      <c r="E555" s="40">
        <v>1200000</v>
      </c>
      <c r="K555" s="108">
        <v>0</v>
      </c>
      <c r="L555" s="66">
        <f t="shared" si="16"/>
        <v>9600000</v>
      </c>
      <c r="M555" s="153">
        <f>-PMT('Interface - Substantial impacts'!$I$42,'Interface - Substantial impacts'!$I$40,'DW Facility data'!L555)</f>
        <v>747634.4661533531</v>
      </c>
      <c r="N555" s="169">
        <f t="shared" si="17"/>
        <v>675840</v>
      </c>
      <c r="O555" s="105"/>
      <c r="P555" s="86"/>
      <c r="V555" s="103" t="s">
        <v>1192</v>
      </c>
      <c r="W555" s="68">
        <v>1301</v>
      </c>
    </row>
    <row r="556" spans="1:23" x14ac:dyDescent="0.25">
      <c r="A556" s="40">
        <v>1670008</v>
      </c>
      <c r="B556" s="40" t="s">
        <v>1994</v>
      </c>
      <c r="C556" s="68">
        <v>60</v>
      </c>
      <c r="D556" s="111">
        <v>35</v>
      </c>
      <c r="E556" s="40">
        <v>0</v>
      </c>
      <c r="K556" s="108">
        <v>0</v>
      </c>
      <c r="L556" s="66">
        <f t="shared" si="16"/>
        <v>0</v>
      </c>
      <c r="M556" s="153">
        <f>-PMT('Interface - Substantial impacts'!$I$42,'Interface - Substantial impacts'!$I$40,'DW Facility data'!L556)</f>
        <v>0</v>
      </c>
      <c r="N556" s="169">
        <f t="shared" si="17"/>
        <v>0</v>
      </c>
      <c r="O556" s="85">
        <v>4608</v>
      </c>
      <c r="P556" s="81">
        <v>0</v>
      </c>
      <c r="V556" s="103" t="s">
        <v>1955</v>
      </c>
      <c r="W556" s="68">
        <v>89</v>
      </c>
    </row>
    <row r="557" spans="1:23" x14ac:dyDescent="0.25">
      <c r="A557" s="40">
        <v>1680001</v>
      </c>
      <c r="B557" s="40" t="s">
        <v>1717</v>
      </c>
      <c r="C557" s="68">
        <v>429</v>
      </c>
      <c r="D557" s="111">
        <v>202</v>
      </c>
      <c r="E557" s="40">
        <v>60000</v>
      </c>
      <c r="F557" s="43">
        <v>102182</v>
      </c>
      <c r="K557" s="108">
        <v>102182</v>
      </c>
      <c r="L557" s="66">
        <f t="shared" si="16"/>
        <v>480000</v>
      </c>
      <c r="M557" s="153">
        <f>-PMT('Interface - Substantial impacts'!$I$42,'Interface - Substantial impacts'!$I$40,'DW Facility data'!L557)</f>
        <v>37381.723307667657</v>
      </c>
      <c r="N557" s="169">
        <f t="shared" si="17"/>
        <v>33792</v>
      </c>
      <c r="O557" s="85">
        <v>98052</v>
      </c>
      <c r="P557" s="81">
        <v>12626</v>
      </c>
      <c r="V557" s="103" t="s">
        <v>1581</v>
      </c>
      <c r="W557" s="68">
        <v>1975</v>
      </c>
    </row>
    <row r="558" spans="1:23" x14ac:dyDescent="0.25">
      <c r="A558" s="40">
        <v>1680002</v>
      </c>
      <c r="B558" s="40" t="s">
        <v>1888</v>
      </c>
      <c r="C558" s="68">
        <v>682</v>
      </c>
      <c r="D558" s="111">
        <v>312</v>
      </c>
      <c r="E558" s="40">
        <v>191000</v>
      </c>
      <c r="K558" s="108">
        <v>0</v>
      </c>
      <c r="L558" s="66">
        <f t="shared" si="16"/>
        <v>1528000</v>
      </c>
      <c r="M558" s="153">
        <f>-PMT('Interface - Substantial impacts'!$I$42,'Interface - Substantial impacts'!$I$40,'DW Facility data'!L558)</f>
        <v>118998.48586274205</v>
      </c>
      <c r="N558" s="169">
        <f t="shared" si="17"/>
        <v>107571.20000000001</v>
      </c>
      <c r="O558" s="85">
        <v>384988</v>
      </c>
      <c r="P558" s="81">
        <v>170195</v>
      </c>
      <c r="V558" s="103" t="s">
        <v>1950</v>
      </c>
      <c r="W558" s="68">
        <v>4112</v>
      </c>
    </row>
    <row r="559" spans="1:23" x14ac:dyDescent="0.25">
      <c r="A559" s="40">
        <v>1680003</v>
      </c>
      <c r="B559" s="108" t="s">
        <v>1631</v>
      </c>
      <c r="C559" s="68">
        <v>2744</v>
      </c>
      <c r="D559" s="112">
        <v>1466</v>
      </c>
      <c r="E559" s="40">
        <v>750000</v>
      </c>
      <c r="K559" s="108">
        <v>0</v>
      </c>
      <c r="L559" s="66">
        <f t="shared" si="16"/>
        <v>6000000</v>
      </c>
      <c r="M559" s="153">
        <f>-PMT('Interface - Substantial impacts'!$I$42,'Interface - Substantial impacts'!$I$40,'DW Facility data'!L559)</f>
        <v>467271.54134584573</v>
      </c>
      <c r="N559" s="169">
        <f t="shared" si="17"/>
        <v>422400</v>
      </c>
      <c r="O559" s="104">
        <v>594687</v>
      </c>
      <c r="P559" s="81">
        <v>0</v>
      </c>
      <c r="V559" s="109"/>
      <c r="W559" s="69"/>
    </row>
    <row r="560" spans="1:23" x14ac:dyDescent="0.25">
      <c r="A560" s="40">
        <v>1680006</v>
      </c>
      <c r="B560" s="40" t="s">
        <v>1611</v>
      </c>
      <c r="C560" s="68">
        <v>1830</v>
      </c>
      <c r="D560" s="111">
        <v>911</v>
      </c>
      <c r="E560" s="40">
        <v>310000</v>
      </c>
      <c r="K560" s="108">
        <v>0</v>
      </c>
      <c r="L560" s="66">
        <f t="shared" si="16"/>
        <v>2480000</v>
      </c>
      <c r="M560" s="153">
        <f>-PMT('Interface - Substantial impacts'!$I$42,'Interface - Substantial impacts'!$I$40,'DW Facility data'!L560)</f>
        <v>193138.9037562829</v>
      </c>
      <c r="N560" s="169">
        <f t="shared" si="17"/>
        <v>174592</v>
      </c>
      <c r="O560" s="85">
        <v>291059</v>
      </c>
      <c r="P560" s="81">
        <v>113263</v>
      </c>
      <c r="V560" s="103" t="s">
        <v>1464</v>
      </c>
      <c r="W560" s="68">
        <v>36994</v>
      </c>
    </row>
    <row r="561" spans="1:23" x14ac:dyDescent="0.25">
      <c r="A561" s="40">
        <v>1690001</v>
      </c>
      <c r="B561" s="109" t="s">
        <v>1954</v>
      </c>
      <c r="C561" s="69"/>
      <c r="D561" s="113"/>
      <c r="E561" s="40">
        <v>5000</v>
      </c>
      <c r="K561" s="108">
        <v>0</v>
      </c>
      <c r="L561" s="66">
        <f t="shared" si="16"/>
        <v>40000</v>
      </c>
      <c r="M561" s="153">
        <f>-PMT('Interface - Substantial impacts'!$I$42,'Interface - Substantial impacts'!$I$40,'DW Facility data'!L561)</f>
        <v>3115.1436089723052</v>
      </c>
      <c r="N561" s="169">
        <f t="shared" si="17"/>
        <v>2816</v>
      </c>
      <c r="O561" s="105"/>
      <c r="P561" s="86"/>
      <c r="V561" s="103" t="s">
        <v>1820</v>
      </c>
      <c r="W561" s="68">
        <v>1475</v>
      </c>
    </row>
    <row r="562" spans="1:23" x14ac:dyDescent="0.25">
      <c r="A562" s="40">
        <v>1690002</v>
      </c>
      <c r="B562" s="40" t="s">
        <v>993</v>
      </c>
      <c r="C562" s="68">
        <v>1678</v>
      </c>
      <c r="D562" s="111">
        <v>984</v>
      </c>
      <c r="E562" s="40">
        <v>540000</v>
      </c>
      <c r="F562" s="43">
        <v>155000</v>
      </c>
      <c r="K562" s="108">
        <v>155000</v>
      </c>
      <c r="L562" s="66">
        <f t="shared" si="16"/>
        <v>4320000</v>
      </c>
      <c r="M562" s="153">
        <f>-PMT('Interface - Substantial impacts'!$I$42,'Interface - Substantial impacts'!$I$40,'DW Facility data'!L562)</f>
        <v>336435.5097690089</v>
      </c>
      <c r="N562" s="169">
        <f t="shared" si="17"/>
        <v>304128</v>
      </c>
      <c r="O562" s="85">
        <v>318783</v>
      </c>
      <c r="P562" s="81">
        <v>53272</v>
      </c>
      <c r="V562" s="103" t="s">
        <v>1879</v>
      </c>
      <c r="W562" s="68">
        <v>118</v>
      </c>
    </row>
    <row r="563" spans="1:23" x14ac:dyDescent="0.25">
      <c r="A563" s="40">
        <v>1690003</v>
      </c>
      <c r="B563" s="40" t="s">
        <v>1799</v>
      </c>
      <c r="C563" s="68">
        <v>1397</v>
      </c>
      <c r="D563" s="111">
        <v>890</v>
      </c>
      <c r="E563" s="40">
        <v>400000</v>
      </c>
      <c r="K563" s="108">
        <v>0</v>
      </c>
      <c r="L563" s="66">
        <f t="shared" si="16"/>
        <v>3200000</v>
      </c>
      <c r="M563" s="153">
        <f>-PMT('Interface - Substantial impacts'!$I$42,'Interface - Substantial impacts'!$I$40,'DW Facility data'!L563)</f>
        <v>249211.48871778441</v>
      </c>
      <c r="N563" s="169">
        <f t="shared" si="17"/>
        <v>225280</v>
      </c>
      <c r="O563" s="85">
        <v>699438</v>
      </c>
      <c r="P563" s="81">
        <v>136320</v>
      </c>
      <c r="V563" s="103" t="s">
        <v>1465</v>
      </c>
      <c r="W563" s="68">
        <v>14646</v>
      </c>
    </row>
    <row r="564" spans="1:23" x14ac:dyDescent="0.25">
      <c r="A564" s="40">
        <v>1690004</v>
      </c>
      <c r="B564" s="40" t="s">
        <v>1800</v>
      </c>
      <c r="C564" s="68">
        <v>961</v>
      </c>
      <c r="D564" s="111">
        <v>476</v>
      </c>
      <c r="E564" s="40">
        <v>250000</v>
      </c>
      <c r="K564" s="108">
        <v>0</v>
      </c>
      <c r="L564" s="66">
        <f t="shared" si="16"/>
        <v>2000000</v>
      </c>
      <c r="M564" s="153">
        <f>-PMT('Interface - Substantial impacts'!$I$42,'Interface - Substantial impacts'!$I$40,'DW Facility data'!L564)</f>
        <v>155757.18044861525</v>
      </c>
      <c r="N564" s="169">
        <f t="shared" si="17"/>
        <v>140800</v>
      </c>
      <c r="O564" s="85">
        <v>627814</v>
      </c>
      <c r="P564" s="81">
        <v>93950</v>
      </c>
      <c r="V564" s="103" t="s">
        <v>1194</v>
      </c>
      <c r="W564" s="68">
        <v>121395</v>
      </c>
    </row>
    <row r="565" spans="1:23" x14ac:dyDescent="0.25">
      <c r="A565" s="40">
        <v>1690006</v>
      </c>
      <c r="B565" s="108" t="s">
        <v>1774</v>
      </c>
      <c r="C565" s="68">
        <v>952</v>
      </c>
      <c r="D565" s="111">
        <v>562</v>
      </c>
      <c r="E565" s="40">
        <v>110000</v>
      </c>
      <c r="K565" s="108">
        <v>0</v>
      </c>
      <c r="L565" s="66">
        <f t="shared" si="16"/>
        <v>880000</v>
      </c>
      <c r="M565" s="153">
        <f>-PMT('Interface - Substantial impacts'!$I$42,'Interface - Substantial impacts'!$I$40,'DW Facility data'!L565)</f>
        <v>68533.159397390715</v>
      </c>
      <c r="N565" s="169">
        <f t="shared" si="17"/>
        <v>61952.000000000007</v>
      </c>
      <c r="O565" s="104">
        <v>117691</v>
      </c>
      <c r="P565" s="81">
        <v>87389</v>
      </c>
      <c r="V565" s="109"/>
      <c r="W565" s="69"/>
    </row>
    <row r="566" spans="1:23" x14ac:dyDescent="0.25">
      <c r="A566" s="40">
        <v>1690007</v>
      </c>
      <c r="B566" s="40" t="s">
        <v>1019</v>
      </c>
      <c r="C566" s="68">
        <v>4775</v>
      </c>
      <c r="D566" s="112">
        <v>2418</v>
      </c>
      <c r="E566" s="40">
        <v>1000000</v>
      </c>
      <c r="K566" s="108">
        <v>0</v>
      </c>
      <c r="L566" s="66">
        <f t="shared" si="16"/>
        <v>8000000</v>
      </c>
      <c r="M566" s="153">
        <f>-PMT('Interface - Substantial impacts'!$I$42,'Interface - Substantial impacts'!$I$40,'DW Facility data'!L566)</f>
        <v>623028.72179446102</v>
      </c>
      <c r="N566" s="169">
        <f t="shared" si="17"/>
        <v>563200</v>
      </c>
      <c r="O566" s="85">
        <v>697207</v>
      </c>
      <c r="P566" s="81">
        <v>268513</v>
      </c>
      <c r="V566" s="103" t="s">
        <v>1842</v>
      </c>
      <c r="W566" s="68">
        <v>4500</v>
      </c>
    </row>
    <row r="567" spans="1:23" x14ac:dyDescent="0.25">
      <c r="A567" s="40">
        <v>1690009</v>
      </c>
      <c r="B567" s="40" t="s">
        <v>1801</v>
      </c>
      <c r="C567" s="68">
        <v>534</v>
      </c>
      <c r="D567" s="111">
        <v>268</v>
      </c>
      <c r="E567" s="40">
        <v>200000</v>
      </c>
      <c r="K567" s="108">
        <v>0</v>
      </c>
      <c r="L567" s="66">
        <f t="shared" si="16"/>
        <v>1600000</v>
      </c>
      <c r="M567" s="153">
        <f>-PMT('Interface - Substantial impacts'!$I$42,'Interface - Substantial impacts'!$I$40,'DW Facility data'!L567)</f>
        <v>124605.7443588922</v>
      </c>
      <c r="N567" s="169">
        <f t="shared" si="17"/>
        <v>112640</v>
      </c>
      <c r="O567" s="85">
        <v>228041</v>
      </c>
      <c r="P567" s="81">
        <v>43795</v>
      </c>
      <c r="V567" s="103" t="s">
        <v>1671</v>
      </c>
      <c r="W567" s="68">
        <v>2382</v>
      </c>
    </row>
    <row r="568" spans="1:23" x14ac:dyDescent="0.25">
      <c r="A568" s="40">
        <v>1690011</v>
      </c>
      <c r="B568" s="40" t="s">
        <v>1802</v>
      </c>
      <c r="C568" s="68">
        <v>86697</v>
      </c>
      <c r="D568" s="112">
        <v>38812</v>
      </c>
      <c r="E568" s="40">
        <v>32000000</v>
      </c>
      <c r="K568" s="108">
        <v>0</v>
      </c>
      <c r="L568" s="66">
        <f t="shared" si="16"/>
        <v>256000000</v>
      </c>
      <c r="M568" s="153">
        <f>-PMT('Interface - Substantial impacts'!$I$42,'Interface - Substantial impacts'!$I$40,'DW Facility data'!L568)</f>
        <v>19936919.097422753</v>
      </c>
      <c r="N568" s="169">
        <f t="shared" si="17"/>
        <v>18022400</v>
      </c>
      <c r="O568" s="85">
        <v>9957058</v>
      </c>
      <c r="P568" s="81">
        <v>1458472</v>
      </c>
      <c r="V568" s="103" t="s">
        <v>1196</v>
      </c>
      <c r="W568" s="68">
        <v>13295</v>
      </c>
    </row>
    <row r="569" spans="1:23" x14ac:dyDescent="0.25">
      <c r="A569" s="40">
        <v>1690014</v>
      </c>
      <c r="B569" s="40" t="s">
        <v>1803</v>
      </c>
      <c r="C569" s="68">
        <v>3268</v>
      </c>
      <c r="D569" s="112">
        <v>2098</v>
      </c>
      <c r="E569" s="40">
        <v>1200000</v>
      </c>
      <c r="K569" s="108">
        <v>0</v>
      </c>
      <c r="L569" s="66">
        <f t="shared" si="16"/>
        <v>9600000</v>
      </c>
      <c r="M569" s="153">
        <f>-PMT('Interface - Substantial impacts'!$I$42,'Interface - Substantial impacts'!$I$40,'DW Facility data'!L569)</f>
        <v>747634.4661533531</v>
      </c>
      <c r="N569" s="169">
        <f t="shared" si="17"/>
        <v>675840</v>
      </c>
      <c r="O569" s="85">
        <v>702201</v>
      </c>
      <c r="P569" s="81">
        <v>81819</v>
      </c>
      <c r="V569" s="103" t="s">
        <v>1516</v>
      </c>
      <c r="W569" s="68">
        <v>678</v>
      </c>
    </row>
    <row r="570" spans="1:23" x14ac:dyDescent="0.25">
      <c r="A570" s="40">
        <v>1690018</v>
      </c>
      <c r="B570" s="40" t="s">
        <v>1047</v>
      </c>
      <c r="C570" s="68">
        <v>3493</v>
      </c>
      <c r="D570" s="112">
        <v>1997</v>
      </c>
      <c r="E570" s="40">
        <v>800000</v>
      </c>
      <c r="K570" s="108">
        <v>0</v>
      </c>
      <c r="L570" s="66">
        <f t="shared" si="16"/>
        <v>6400000</v>
      </c>
      <c r="M570" s="153">
        <f>-PMT('Interface - Substantial impacts'!$I$42,'Interface - Substantial impacts'!$I$40,'DW Facility data'!L570)</f>
        <v>498422.97743556881</v>
      </c>
      <c r="N570" s="169">
        <f t="shared" si="17"/>
        <v>450560</v>
      </c>
      <c r="O570" s="85">
        <v>788056</v>
      </c>
      <c r="P570" s="81">
        <v>266735</v>
      </c>
      <c r="V570" s="103" t="s">
        <v>1672</v>
      </c>
      <c r="W570" s="68">
        <v>130</v>
      </c>
    </row>
    <row r="571" spans="1:23" x14ac:dyDescent="0.25">
      <c r="A571" s="40">
        <v>1690020</v>
      </c>
      <c r="B571" s="40" t="s">
        <v>1061</v>
      </c>
      <c r="C571" s="68">
        <v>1687</v>
      </c>
      <c r="D571" s="111">
        <v>941</v>
      </c>
      <c r="E571" s="40">
        <v>350000</v>
      </c>
      <c r="F571" s="43">
        <v>3000000</v>
      </c>
      <c r="K571" s="108">
        <v>3000000</v>
      </c>
      <c r="L571" s="66">
        <f t="shared" si="16"/>
        <v>2800000</v>
      </c>
      <c r="M571" s="153">
        <f>-PMT('Interface - Substantial impacts'!$I$42,'Interface - Substantial impacts'!$I$40,'DW Facility data'!L571)</f>
        <v>218060.05262806136</v>
      </c>
      <c r="N571" s="169">
        <f t="shared" si="17"/>
        <v>197120</v>
      </c>
      <c r="O571" s="85">
        <v>574928</v>
      </c>
      <c r="P571" s="81">
        <v>45005</v>
      </c>
      <c r="V571" s="103" t="s">
        <v>1720</v>
      </c>
      <c r="W571" s="68">
        <v>397</v>
      </c>
    </row>
    <row r="572" spans="1:23" x14ac:dyDescent="0.25">
      <c r="A572" s="40">
        <v>1690022</v>
      </c>
      <c r="B572" s="40" t="s">
        <v>1079</v>
      </c>
      <c r="C572" s="68">
        <v>16214</v>
      </c>
      <c r="D572" s="112">
        <v>8160</v>
      </c>
      <c r="E572" s="40">
        <v>3400000</v>
      </c>
      <c r="K572" s="108">
        <v>0</v>
      </c>
      <c r="L572" s="66">
        <f t="shared" si="16"/>
        <v>27200000</v>
      </c>
      <c r="M572" s="153">
        <f>-PMT('Interface - Substantial impacts'!$I$42,'Interface - Substantial impacts'!$I$40,'DW Facility data'!L572)</f>
        <v>2118297.6541011673</v>
      </c>
      <c r="N572" s="169">
        <f t="shared" si="17"/>
        <v>1914880</v>
      </c>
      <c r="O572" s="85">
        <v>2437915</v>
      </c>
      <c r="P572" s="81">
        <v>0</v>
      </c>
      <c r="V572" s="103" t="s">
        <v>1631</v>
      </c>
      <c r="W572" s="68">
        <v>2744</v>
      </c>
    </row>
    <row r="573" spans="1:23" x14ac:dyDescent="0.25">
      <c r="A573" s="40">
        <v>1690028</v>
      </c>
      <c r="B573" s="40" t="s">
        <v>1804</v>
      </c>
      <c r="C573" s="68">
        <v>2020</v>
      </c>
      <c r="D573" s="111">
        <v>975</v>
      </c>
      <c r="E573" s="40">
        <v>500000</v>
      </c>
      <c r="K573" s="108">
        <v>0</v>
      </c>
      <c r="L573" s="66">
        <f t="shared" si="16"/>
        <v>4000000</v>
      </c>
      <c r="M573" s="153">
        <f>-PMT('Interface - Substantial impacts'!$I$42,'Interface - Substantial impacts'!$I$40,'DW Facility data'!L573)</f>
        <v>311514.36089723051</v>
      </c>
      <c r="N573" s="169">
        <f t="shared" si="17"/>
        <v>281600</v>
      </c>
      <c r="O573" s="85">
        <v>461381</v>
      </c>
      <c r="P573" s="81">
        <v>5484</v>
      </c>
      <c r="V573" s="103" t="s">
        <v>1585</v>
      </c>
      <c r="W573" s="68">
        <v>25650</v>
      </c>
    </row>
    <row r="574" spans="1:23" x14ac:dyDescent="0.25">
      <c r="A574" s="40">
        <v>1690029</v>
      </c>
      <c r="B574" s="40" t="s">
        <v>1989</v>
      </c>
      <c r="C574" s="68">
        <v>110</v>
      </c>
      <c r="D574" s="111">
        <v>46</v>
      </c>
      <c r="E574" s="40">
        <v>12000</v>
      </c>
      <c r="K574" s="108">
        <v>0</v>
      </c>
      <c r="L574" s="66">
        <f t="shared" si="16"/>
        <v>96000</v>
      </c>
      <c r="M574" s="153">
        <f>-PMT('Interface - Substantial impacts'!$I$42,'Interface - Substantial impacts'!$I$40,'DW Facility data'!L574)</f>
        <v>7476.3446615335315</v>
      </c>
      <c r="N574" s="169">
        <f t="shared" si="17"/>
        <v>6758.4000000000005</v>
      </c>
      <c r="O574" s="85">
        <v>21064</v>
      </c>
      <c r="P574" s="81">
        <v>0</v>
      </c>
      <c r="V574" s="103" t="s">
        <v>1969</v>
      </c>
      <c r="W574" s="68">
        <v>36254</v>
      </c>
    </row>
    <row r="575" spans="1:23" x14ac:dyDescent="0.25">
      <c r="A575" s="40">
        <v>1690031</v>
      </c>
      <c r="B575" s="40" t="s">
        <v>1805</v>
      </c>
      <c r="C575" s="68">
        <v>152</v>
      </c>
      <c r="D575" s="111">
        <v>90</v>
      </c>
      <c r="E575" s="40">
        <v>25000</v>
      </c>
      <c r="K575" s="108">
        <v>0</v>
      </c>
      <c r="L575" s="66">
        <f t="shared" si="16"/>
        <v>200000</v>
      </c>
      <c r="M575" s="153">
        <f>-PMT('Interface - Substantial impacts'!$I$42,'Interface - Substantial impacts'!$I$40,'DW Facility data'!L575)</f>
        <v>15575.718044861525</v>
      </c>
      <c r="N575" s="169">
        <f t="shared" si="17"/>
        <v>14080</v>
      </c>
      <c r="O575" s="85">
        <v>33032</v>
      </c>
      <c r="P575" s="81">
        <v>0</v>
      </c>
      <c r="V575" s="103" t="s">
        <v>1566</v>
      </c>
      <c r="W575" s="68">
        <v>498</v>
      </c>
    </row>
    <row r="576" spans="1:23" x14ac:dyDescent="0.25">
      <c r="A576" s="40">
        <v>1690033</v>
      </c>
      <c r="B576" s="40" t="s">
        <v>1129</v>
      </c>
      <c r="C576" s="68">
        <v>103</v>
      </c>
      <c r="D576" s="111">
        <v>82</v>
      </c>
      <c r="E576" s="40">
        <v>10000</v>
      </c>
      <c r="K576" s="108">
        <v>0</v>
      </c>
      <c r="L576" s="66">
        <f t="shared" si="16"/>
        <v>80000</v>
      </c>
      <c r="M576" s="153">
        <f>-PMT('Interface - Substantial impacts'!$I$42,'Interface - Substantial impacts'!$I$40,'DW Facility data'!L576)</f>
        <v>6230.2872179446103</v>
      </c>
      <c r="N576" s="169">
        <f t="shared" si="17"/>
        <v>5632</v>
      </c>
      <c r="O576" s="85">
        <v>48475</v>
      </c>
      <c r="P576" s="81">
        <v>0</v>
      </c>
      <c r="V576" s="103" t="s">
        <v>1996</v>
      </c>
      <c r="W576" s="68">
        <v>377</v>
      </c>
    </row>
    <row r="577" spans="1:23" x14ac:dyDescent="0.25">
      <c r="A577" s="40">
        <v>1690034</v>
      </c>
      <c r="B577" s="40" t="s">
        <v>1629</v>
      </c>
      <c r="C577" s="68">
        <v>134</v>
      </c>
      <c r="D577" s="111">
        <v>46</v>
      </c>
      <c r="E577" s="40">
        <v>20000</v>
      </c>
      <c r="K577" s="108">
        <v>0</v>
      </c>
      <c r="L577" s="66">
        <f t="shared" si="16"/>
        <v>160000</v>
      </c>
      <c r="M577" s="153">
        <f>-PMT('Interface - Substantial impacts'!$I$42,'Interface - Substantial impacts'!$I$40,'DW Facility data'!L577)</f>
        <v>12460.574435889221</v>
      </c>
      <c r="N577" s="169">
        <f t="shared" si="17"/>
        <v>11264</v>
      </c>
      <c r="O577" s="85">
        <v>14843</v>
      </c>
      <c r="P577" s="81">
        <v>0</v>
      </c>
      <c r="V577" s="103" t="s">
        <v>1825</v>
      </c>
      <c r="W577" s="68">
        <v>1281</v>
      </c>
    </row>
    <row r="578" spans="1:23" x14ac:dyDescent="0.25">
      <c r="A578" s="40">
        <v>1690035</v>
      </c>
      <c r="B578" s="40" t="s">
        <v>1752</v>
      </c>
      <c r="C578" s="68">
        <v>2878</v>
      </c>
      <c r="D578" s="112">
        <v>1460</v>
      </c>
      <c r="E578" s="40">
        <v>600000</v>
      </c>
      <c r="F578" s="43">
        <v>999460</v>
      </c>
      <c r="K578" s="108">
        <v>999460</v>
      </c>
      <c r="L578" s="66">
        <f t="shared" ref="L578:L641" si="18">E578*8</f>
        <v>4800000</v>
      </c>
      <c r="M578" s="153">
        <f>-PMT('Interface - Substantial impacts'!$I$42,'Interface - Substantial impacts'!$I$40,'DW Facility data'!L578)</f>
        <v>373817.23307667655</v>
      </c>
      <c r="N578" s="169">
        <f t="shared" si="17"/>
        <v>337920</v>
      </c>
      <c r="O578" s="85">
        <v>389970</v>
      </c>
      <c r="P578" s="81">
        <v>90887</v>
      </c>
      <c r="V578" s="103" t="s">
        <v>1518</v>
      </c>
      <c r="W578" s="68">
        <v>3228</v>
      </c>
    </row>
    <row r="579" spans="1:23" x14ac:dyDescent="0.25">
      <c r="A579" s="40">
        <v>1690038</v>
      </c>
      <c r="B579" s="40" t="s">
        <v>1619</v>
      </c>
      <c r="C579" s="68">
        <v>211</v>
      </c>
      <c r="D579" s="111">
        <v>146</v>
      </c>
      <c r="E579" s="40">
        <v>50000</v>
      </c>
      <c r="K579" s="108">
        <v>0</v>
      </c>
      <c r="L579" s="66">
        <f t="shared" si="18"/>
        <v>400000</v>
      </c>
      <c r="M579" s="153">
        <f>-PMT('Interface - Substantial impacts'!$I$42,'Interface - Substantial impacts'!$I$40,'DW Facility data'!L579)</f>
        <v>31151.436089723051</v>
      </c>
      <c r="N579" s="169">
        <f t="shared" ref="N579:N642" si="19">L579*0.0704</f>
        <v>28160</v>
      </c>
      <c r="O579" s="85">
        <v>109259</v>
      </c>
      <c r="P579" s="81">
        <v>0</v>
      </c>
      <c r="V579" s="103" t="s">
        <v>1198</v>
      </c>
      <c r="W579" s="68">
        <v>1860</v>
      </c>
    </row>
    <row r="580" spans="1:23" x14ac:dyDescent="0.25">
      <c r="A580" s="40">
        <v>1690042</v>
      </c>
      <c r="B580" s="109" t="s">
        <v>1974</v>
      </c>
      <c r="C580" s="69"/>
      <c r="D580" s="112">
        <v>1338</v>
      </c>
      <c r="E580" s="40">
        <v>500000</v>
      </c>
      <c r="K580" s="108">
        <v>0</v>
      </c>
      <c r="L580" s="66">
        <f t="shared" si="18"/>
        <v>4000000</v>
      </c>
      <c r="M580" s="153">
        <f>-PMT('Interface - Substantial impacts'!$I$42,'Interface - Substantial impacts'!$I$40,'DW Facility data'!L580)</f>
        <v>311514.36089723051</v>
      </c>
      <c r="N580" s="169">
        <f t="shared" si="19"/>
        <v>281600</v>
      </c>
      <c r="O580" s="105"/>
      <c r="P580" s="86"/>
      <c r="V580" s="103" t="s">
        <v>1547</v>
      </c>
      <c r="W580" s="68">
        <v>790</v>
      </c>
    </row>
    <row r="581" spans="1:23" x14ac:dyDescent="0.25">
      <c r="A581" s="40">
        <v>1690043</v>
      </c>
      <c r="B581" s="40" t="s">
        <v>1992</v>
      </c>
      <c r="C581" s="68">
        <v>10221</v>
      </c>
      <c r="D581" s="112">
        <v>3761</v>
      </c>
      <c r="E581" s="40">
        <v>0</v>
      </c>
      <c r="K581" s="108">
        <v>0</v>
      </c>
      <c r="L581" s="66">
        <f t="shared" si="18"/>
        <v>0</v>
      </c>
      <c r="M581" s="153">
        <f>-PMT('Interface - Substantial impacts'!$I$42,'Interface - Substantial impacts'!$I$40,'DW Facility data'!L581)</f>
        <v>0</v>
      </c>
      <c r="N581" s="169">
        <f t="shared" si="19"/>
        <v>0</v>
      </c>
      <c r="O581" s="85">
        <v>1325920</v>
      </c>
      <c r="P581" s="81">
        <v>0</v>
      </c>
      <c r="V581" s="103" t="s">
        <v>1935</v>
      </c>
      <c r="W581" s="68">
        <v>365</v>
      </c>
    </row>
    <row r="582" spans="1:23" x14ac:dyDescent="0.25">
      <c r="A582" s="109">
        <v>1690045</v>
      </c>
      <c r="B582" s="109" t="s">
        <v>1753</v>
      </c>
      <c r="C582" s="69"/>
      <c r="D582" s="114"/>
      <c r="E582" s="40">
        <v>120000</v>
      </c>
      <c r="K582" s="108">
        <v>0</v>
      </c>
      <c r="L582" s="66">
        <f t="shared" si="18"/>
        <v>960000</v>
      </c>
      <c r="M582" s="153">
        <f>-PMT('Interface - Substantial impacts'!$I$42,'Interface - Substantial impacts'!$I$40,'DW Facility data'!L582)</f>
        <v>74763.446615335313</v>
      </c>
      <c r="N582" s="169">
        <f t="shared" si="19"/>
        <v>67584</v>
      </c>
      <c r="O582" s="105"/>
      <c r="P582" s="86"/>
      <c r="V582" s="103" t="s">
        <v>1971</v>
      </c>
      <c r="W582" s="68">
        <v>348</v>
      </c>
    </row>
    <row r="583" spans="1:23" x14ac:dyDescent="0.25">
      <c r="A583" s="40">
        <v>1690046</v>
      </c>
      <c r="B583" s="40" t="s">
        <v>1228</v>
      </c>
      <c r="C583" s="68">
        <v>8421</v>
      </c>
      <c r="D583" s="112">
        <v>4890</v>
      </c>
      <c r="E583" s="40">
        <v>3000000</v>
      </c>
      <c r="K583" s="108">
        <v>0</v>
      </c>
      <c r="L583" s="66">
        <f t="shared" si="18"/>
        <v>24000000</v>
      </c>
      <c r="M583" s="153">
        <f>-PMT('Interface - Substantial impacts'!$I$42,'Interface - Substantial impacts'!$I$40,'DW Facility data'!L583)</f>
        <v>1869086.1653833829</v>
      </c>
      <c r="N583" s="169">
        <f t="shared" si="19"/>
        <v>1689600</v>
      </c>
      <c r="O583" s="85">
        <v>2080756</v>
      </c>
      <c r="P583" s="81">
        <v>294685</v>
      </c>
      <c r="V583" s="103" t="s">
        <v>1580</v>
      </c>
      <c r="W583" s="68">
        <v>226</v>
      </c>
    </row>
    <row r="584" spans="1:23" x14ac:dyDescent="0.25">
      <c r="A584" s="40">
        <v>1690048</v>
      </c>
      <c r="B584" s="40" t="s">
        <v>1754</v>
      </c>
      <c r="C584" s="68">
        <v>517</v>
      </c>
      <c r="D584" s="111">
        <v>283</v>
      </c>
      <c r="E584" s="40">
        <v>65000</v>
      </c>
      <c r="K584" s="108">
        <v>0</v>
      </c>
      <c r="L584" s="66">
        <f t="shared" si="18"/>
        <v>520000</v>
      </c>
      <c r="M584" s="153">
        <f>-PMT('Interface - Substantial impacts'!$I$42,'Interface - Substantial impacts'!$I$40,'DW Facility data'!L584)</f>
        <v>40496.866916639963</v>
      </c>
      <c r="N584" s="169">
        <f t="shared" si="19"/>
        <v>36608</v>
      </c>
      <c r="O584" s="85">
        <v>96382</v>
      </c>
      <c r="P584" s="81">
        <v>13394</v>
      </c>
      <c r="V584" s="103" t="s">
        <v>1867</v>
      </c>
      <c r="W584" s="68">
        <v>619</v>
      </c>
    </row>
    <row r="585" spans="1:23" x14ac:dyDescent="0.25">
      <c r="A585" s="40">
        <v>1690049</v>
      </c>
      <c r="B585" s="40" t="s">
        <v>1950</v>
      </c>
      <c r="C585" s="68">
        <v>4112</v>
      </c>
      <c r="D585" s="112">
        <v>1822</v>
      </c>
      <c r="E585" s="40">
        <v>125000</v>
      </c>
      <c r="K585" s="108">
        <v>0</v>
      </c>
      <c r="L585" s="66">
        <f t="shared" si="18"/>
        <v>1000000</v>
      </c>
      <c r="M585" s="153">
        <f>-PMT('Interface - Substantial impacts'!$I$42,'Interface - Substantial impacts'!$I$40,'DW Facility data'!L585)</f>
        <v>77878.590224307627</v>
      </c>
      <c r="N585" s="169">
        <f t="shared" si="19"/>
        <v>70400</v>
      </c>
      <c r="O585" s="85">
        <v>513797</v>
      </c>
      <c r="P585" s="81">
        <v>1640106</v>
      </c>
      <c r="V585" s="103" t="s">
        <v>1200</v>
      </c>
      <c r="W585" s="68">
        <v>510</v>
      </c>
    </row>
    <row r="586" spans="1:23" x14ac:dyDescent="0.25">
      <c r="A586" s="40">
        <v>1690051</v>
      </c>
      <c r="B586" s="108" t="s">
        <v>2019</v>
      </c>
      <c r="C586" s="68">
        <v>430</v>
      </c>
      <c r="D586" s="111">
        <v>353</v>
      </c>
      <c r="E586" s="40">
        <v>80000</v>
      </c>
      <c r="F586" s="43">
        <v>4500000</v>
      </c>
      <c r="K586" s="108">
        <v>4500000</v>
      </c>
      <c r="L586" s="66">
        <f t="shared" si="18"/>
        <v>640000</v>
      </c>
      <c r="M586" s="153">
        <f>-PMT('Interface - Substantial impacts'!$I$42,'Interface - Substantial impacts'!$I$40,'DW Facility data'!L586)</f>
        <v>49842.297743556883</v>
      </c>
      <c r="N586" s="169">
        <f t="shared" si="19"/>
        <v>45056</v>
      </c>
      <c r="O586" s="104">
        <v>124053</v>
      </c>
      <c r="P586" s="81">
        <v>0</v>
      </c>
      <c r="V586" s="103" t="s">
        <v>2205</v>
      </c>
      <c r="W586" s="68">
        <v>9257</v>
      </c>
    </row>
    <row r="587" spans="1:23" x14ac:dyDescent="0.25">
      <c r="A587" s="40">
        <v>1690057</v>
      </c>
      <c r="B587" s="40" t="s">
        <v>1755</v>
      </c>
      <c r="C587" s="68">
        <v>169</v>
      </c>
      <c r="D587" s="111">
        <v>86</v>
      </c>
      <c r="E587" s="40">
        <v>40000</v>
      </c>
      <c r="K587" s="108">
        <v>0</v>
      </c>
      <c r="L587" s="66">
        <f t="shared" si="18"/>
        <v>320000</v>
      </c>
      <c r="M587" s="153">
        <f>-PMT('Interface - Substantial impacts'!$I$42,'Interface - Substantial impacts'!$I$40,'DW Facility data'!L587)</f>
        <v>24921.148871778441</v>
      </c>
      <c r="N587" s="169">
        <f t="shared" si="19"/>
        <v>22528</v>
      </c>
      <c r="O587" s="85">
        <v>30307</v>
      </c>
      <c r="P587" s="81">
        <v>0</v>
      </c>
      <c r="V587" s="103" t="s">
        <v>2013</v>
      </c>
      <c r="W587" s="68">
        <v>3497</v>
      </c>
    </row>
    <row r="588" spans="1:23" x14ac:dyDescent="0.25">
      <c r="A588" s="109">
        <v>1690058</v>
      </c>
      <c r="B588" s="109" t="s">
        <v>1952</v>
      </c>
      <c r="C588" s="69"/>
      <c r="D588" s="111"/>
      <c r="E588" s="40">
        <v>30000</v>
      </c>
      <c r="K588" s="108">
        <v>0</v>
      </c>
      <c r="L588" s="66">
        <f t="shared" si="18"/>
        <v>240000</v>
      </c>
      <c r="M588" s="153">
        <f>-PMT('Interface - Substantial impacts'!$I$42,'Interface - Substantial impacts'!$I$40,'DW Facility data'!L588)</f>
        <v>18690.861653833828</v>
      </c>
      <c r="N588" s="169">
        <f t="shared" si="19"/>
        <v>16896</v>
      </c>
      <c r="O588" s="105"/>
      <c r="P588" s="86"/>
      <c r="V588" s="103" t="s">
        <v>1591</v>
      </c>
      <c r="W588" s="68">
        <v>2307</v>
      </c>
    </row>
    <row r="589" spans="1:23" x14ac:dyDescent="0.25">
      <c r="A589" s="40">
        <v>1700001</v>
      </c>
      <c r="B589" s="40" t="s">
        <v>1853</v>
      </c>
      <c r="C589" s="68">
        <v>7395</v>
      </c>
      <c r="D589" s="112">
        <v>2343</v>
      </c>
      <c r="E589" s="40">
        <v>1044000</v>
      </c>
      <c r="K589" s="108">
        <v>0</v>
      </c>
      <c r="L589" s="66">
        <f t="shared" si="18"/>
        <v>8352000</v>
      </c>
      <c r="M589" s="153">
        <f>-PMT('Interface - Substantial impacts'!$I$42,'Interface - Substantial impacts'!$I$40,'DW Facility data'!L589)</f>
        <v>650441.98555341724</v>
      </c>
      <c r="N589" s="169">
        <f t="shared" si="19"/>
        <v>587980.80000000005</v>
      </c>
      <c r="O589" s="85">
        <v>1263497</v>
      </c>
      <c r="P589" s="81">
        <v>452477</v>
      </c>
      <c r="V589" s="103" t="s">
        <v>1510</v>
      </c>
      <c r="W589" s="68">
        <v>3990</v>
      </c>
    </row>
    <row r="590" spans="1:23" x14ac:dyDescent="0.25">
      <c r="A590" s="40">
        <v>1700003</v>
      </c>
      <c r="B590" s="40" t="s">
        <v>1089</v>
      </c>
      <c r="C590" s="68">
        <v>6656</v>
      </c>
      <c r="D590" s="112">
        <v>2052</v>
      </c>
      <c r="E590" s="40">
        <v>1042000</v>
      </c>
      <c r="K590" s="108">
        <v>0</v>
      </c>
      <c r="L590" s="66">
        <f t="shared" si="18"/>
        <v>8336000</v>
      </c>
      <c r="M590" s="153">
        <f>-PMT('Interface - Substantial impacts'!$I$42,'Interface - Substantial impacts'!$I$40,'DW Facility data'!L590)</f>
        <v>649195.92810982838</v>
      </c>
      <c r="N590" s="169">
        <f t="shared" si="19"/>
        <v>586854.40000000002</v>
      </c>
      <c r="O590" s="85">
        <v>972138</v>
      </c>
      <c r="P590" s="81">
        <v>952480</v>
      </c>
      <c r="V590" s="103" t="s">
        <v>1869</v>
      </c>
      <c r="W590" s="68">
        <v>750</v>
      </c>
    </row>
    <row r="591" spans="1:23" x14ac:dyDescent="0.25">
      <c r="A591" s="40">
        <v>1700007</v>
      </c>
      <c r="B591" s="40" t="s">
        <v>1847</v>
      </c>
      <c r="C591" s="68">
        <v>27617</v>
      </c>
      <c r="D591" s="112">
        <v>10165</v>
      </c>
      <c r="E591" s="40">
        <v>5097000</v>
      </c>
      <c r="K591" s="108">
        <v>0</v>
      </c>
      <c r="L591" s="66">
        <f t="shared" si="18"/>
        <v>40776000</v>
      </c>
      <c r="M591" s="153">
        <f>-PMT('Interface - Substantial impacts'!$I$42,'Interface - Substantial impacts'!$I$40,'DW Facility data'!L591)</f>
        <v>3175577.3949863673</v>
      </c>
      <c r="N591" s="169">
        <f t="shared" si="19"/>
        <v>2870630.4000000004</v>
      </c>
      <c r="O591" s="85">
        <v>3243683</v>
      </c>
      <c r="P591" s="81">
        <v>157490</v>
      </c>
      <c r="V591" s="103" t="s">
        <v>1821</v>
      </c>
      <c r="W591" s="68">
        <v>68881</v>
      </c>
    </row>
    <row r="592" spans="1:23" x14ac:dyDescent="0.25">
      <c r="A592" s="40">
        <v>1700008</v>
      </c>
      <c r="B592" s="40" t="s">
        <v>1664</v>
      </c>
      <c r="C592" s="68">
        <v>32465</v>
      </c>
      <c r="D592" s="112">
        <v>10960</v>
      </c>
      <c r="E592" s="40">
        <v>4653532</v>
      </c>
      <c r="K592" s="108">
        <v>0</v>
      </c>
      <c r="L592" s="66">
        <f t="shared" si="18"/>
        <v>37228256</v>
      </c>
      <c r="M592" s="153">
        <f>-PMT('Interface - Substantial impacts'!$I$42,'Interface - Substantial impacts'!$I$40,'DW Facility data'!L592)</f>
        <v>2899284.0937896217</v>
      </c>
      <c r="N592" s="169">
        <f t="shared" si="19"/>
        <v>2620869.2224000003</v>
      </c>
      <c r="O592" s="85">
        <v>9749795</v>
      </c>
      <c r="P592" s="81">
        <v>1328397</v>
      </c>
      <c r="V592" s="103" t="s">
        <v>1845</v>
      </c>
      <c r="W592" s="68">
        <v>8142</v>
      </c>
    </row>
    <row r="593" spans="1:23" x14ac:dyDescent="0.25">
      <c r="A593" s="40">
        <v>1700009</v>
      </c>
      <c r="B593" s="40" t="s">
        <v>1511</v>
      </c>
      <c r="C593" s="68">
        <v>43698</v>
      </c>
      <c r="D593" s="112">
        <v>14556</v>
      </c>
      <c r="E593" s="40">
        <v>9936000</v>
      </c>
      <c r="K593" s="108">
        <v>0</v>
      </c>
      <c r="L593" s="66">
        <f t="shared" si="18"/>
        <v>79488000</v>
      </c>
      <c r="M593" s="153">
        <f>-PMT('Interface - Substantial impacts'!$I$42,'Interface - Substantial impacts'!$I$40,'DW Facility data'!L593)</f>
        <v>6190413.3797497647</v>
      </c>
      <c r="N593" s="169">
        <f t="shared" si="19"/>
        <v>5595955.2000000002</v>
      </c>
      <c r="O593" s="85">
        <v>5012367</v>
      </c>
      <c r="P593" s="81">
        <v>0</v>
      </c>
      <c r="V593" s="103" t="s">
        <v>1710</v>
      </c>
      <c r="W593" s="68">
        <v>273</v>
      </c>
    </row>
    <row r="594" spans="1:23" x14ac:dyDescent="0.25">
      <c r="A594" s="40">
        <v>1700029</v>
      </c>
      <c r="B594" s="40" t="s">
        <v>1835</v>
      </c>
      <c r="C594" s="68">
        <v>4846</v>
      </c>
      <c r="D594" s="112">
        <v>1502</v>
      </c>
      <c r="E594" s="40">
        <v>895800</v>
      </c>
      <c r="K594" s="108">
        <v>0</v>
      </c>
      <c r="L594" s="66">
        <f t="shared" si="18"/>
        <v>7166400</v>
      </c>
      <c r="M594" s="153">
        <f>-PMT('Interface - Substantial impacts'!$I$42,'Interface - Substantial impacts'!$I$40,'DW Facility data'!L594)</f>
        <v>558109.12898347818</v>
      </c>
      <c r="N594" s="169">
        <f t="shared" si="19"/>
        <v>504514.56000000006</v>
      </c>
      <c r="O594" s="85">
        <v>970499</v>
      </c>
      <c r="P594" s="81">
        <v>787799</v>
      </c>
      <c r="V594" s="103" t="s">
        <v>1202</v>
      </c>
      <c r="W594" s="68">
        <v>4793</v>
      </c>
    </row>
    <row r="595" spans="1:23" x14ac:dyDescent="0.25">
      <c r="A595" s="40">
        <v>1710002</v>
      </c>
      <c r="B595" s="40" t="s">
        <v>1728</v>
      </c>
      <c r="C595" s="68">
        <v>11686</v>
      </c>
      <c r="D595" s="112">
        <v>3700</v>
      </c>
      <c r="E595" s="40">
        <v>2982000</v>
      </c>
      <c r="K595" s="108">
        <v>0</v>
      </c>
      <c r="L595" s="66">
        <f t="shared" si="18"/>
        <v>23856000</v>
      </c>
      <c r="M595" s="153">
        <f>-PMT('Interface - Substantial impacts'!$I$42,'Interface - Substantial impacts'!$I$40,'DW Facility data'!L595)</f>
        <v>1857871.6483910827</v>
      </c>
      <c r="N595" s="169">
        <f t="shared" si="19"/>
        <v>1679462.4000000001</v>
      </c>
      <c r="O595" s="85">
        <v>1923356</v>
      </c>
      <c r="P595" s="81">
        <v>810783</v>
      </c>
      <c r="V595" s="103" t="s">
        <v>1822</v>
      </c>
      <c r="W595" s="68">
        <v>7029</v>
      </c>
    </row>
    <row r="596" spans="1:23" x14ac:dyDescent="0.25">
      <c r="A596" s="40">
        <v>1710004</v>
      </c>
      <c r="B596" s="40" t="s">
        <v>1625</v>
      </c>
      <c r="C596" s="68">
        <v>25835</v>
      </c>
      <c r="D596" s="112">
        <v>8889</v>
      </c>
      <c r="E596" s="40">
        <v>4425000</v>
      </c>
      <c r="K596" s="108">
        <v>0</v>
      </c>
      <c r="L596" s="66">
        <f t="shared" si="18"/>
        <v>35400000</v>
      </c>
      <c r="M596" s="153">
        <f>-PMT('Interface - Substantial impacts'!$I$42,'Interface - Substantial impacts'!$I$40,'DW Facility data'!L596)</f>
        <v>2756902.0939404899</v>
      </c>
      <c r="N596" s="169">
        <f t="shared" si="19"/>
        <v>2492160</v>
      </c>
      <c r="O596" s="85">
        <v>2673685</v>
      </c>
      <c r="P596" s="81">
        <v>294516</v>
      </c>
      <c r="V596" s="103" t="s">
        <v>2025</v>
      </c>
      <c r="W596" s="68">
        <v>93</v>
      </c>
    </row>
    <row r="597" spans="1:23" x14ac:dyDescent="0.25">
      <c r="A597" s="40">
        <v>1710006</v>
      </c>
      <c r="B597" s="40" t="s">
        <v>1267</v>
      </c>
      <c r="C597" s="68">
        <v>6189</v>
      </c>
      <c r="D597" s="112">
        <v>1920</v>
      </c>
      <c r="E597" s="40">
        <v>1556000</v>
      </c>
      <c r="F597" s="43">
        <v>25000</v>
      </c>
      <c r="K597" s="108">
        <v>25000</v>
      </c>
      <c r="L597" s="66">
        <f t="shared" si="18"/>
        <v>12448000</v>
      </c>
      <c r="M597" s="153">
        <f>-PMT('Interface - Substantial impacts'!$I$42,'Interface - Substantial impacts'!$I$40,'DW Facility data'!L597)</f>
        <v>969432.69111218129</v>
      </c>
      <c r="N597" s="169">
        <f t="shared" si="19"/>
        <v>876339.20000000007</v>
      </c>
      <c r="O597" s="85">
        <v>759076</v>
      </c>
      <c r="P597" s="81">
        <v>129858</v>
      </c>
      <c r="V597" s="103" t="s">
        <v>1467</v>
      </c>
      <c r="W597" s="68">
        <v>50010</v>
      </c>
    </row>
    <row r="598" spans="1:23" x14ac:dyDescent="0.25">
      <c r="A598" s="40">
        <v>1710008</v>
      </c>
      <c r="B598" s="40" t="s">
        <v>1828</v>
      </c>
      <c r="C598" s="68">
        <v>4877</v>
      </c>
      <c r="D598" s="112">
        <v>1877</v>
      </c>
      <c r="E598" s="40">
        <v>1644000</v>
      </c>
      <c r="K598" s="108">
        <v>0</v>
      </c>
      <c r="L598" s="66">
        <f t="shared" si="18"/>
        <v>13152000</v>
      </c>
      <c r="M598" s="153">
        <f>-PMT('Interface - Substantial impacts'!$I$42,'Interface - Substantial impacts'!$I$40,'DW Facility data'!L598)</f>
        <v>1024259.2186300937</v>
      </c>
      <c r="N598" s="169">
        <f t="shared" si="19"/>
        <v>925900.80000000005</v>
      </c>
      <c r="O598" s="85">
        <v>769309</v>
      </c>
      <c r="P598" s="81">
        <v>69678</v>
      </c>
      <c r="V598" s="103" t="s">
        <v>1907</v>
      </c>
      <c r="W598" s="68">
        <v>312</v>
      </c>
    </row>
    <row r="599" spans="1:23" x14ac:dyDescent="0.25">
      <c r="A599" s="40">
        <v>1710009</v>
      </c>
      <c r="B599" s="40" t="s">
        <v>1687</v>
      </c>
      <c r="C599" s="68">
        <v>641</v>
      </c>
      <c r="D599" s="111">
        <v>222</v>
      </c>
      <c r="E599" s="40">
        <v>67000</v>
      </c>
      <c r="K599" s="108">
        <v>0</v>
      </c>
      <c r="L599" s="66">
        <f t="shared" si="18"/>
        <v>536000</v>
      </c>
      <c r="M599" s="153">
        <f>-PMT('Interface - Substantial impacts'!$I$42,'Interface - Substantial impacts'!$I$40,'DW Facility data'!L599)</f>
        <v>41742.924360228884</v>
      </c>
      <c r="N599" s="169">
        <f t="shared" si="19"/>
        <v>37734.400000000001</v>
      </c>
      <c r="O599" s="85">
        <v>118811</v>
      </c>
      <c r="P599" s="81">
        <v>3923</v>
      </c>
      <c r="V599" s="103" t="s">
        <v>1525</v>
      </c>
      <c r="W599" s="68">
        <v>5544</v>
      </c>
    </row>
    <row r="600" spans="1:23" x14ac:dyDescent="0.25">
      <c r="A600" s="40">
        <v>1720001</v>
      </c>
      <c r="B600" s="40" t="s">
        <v>989</v>
      </c>
      <c r="C600" s="68">
        <v>2247</v>
      </c>
      <c r="D600" s="112">
        <v>1037</v>
      </c>
      <c r="E600" s="40">
        <v>402000</v>
      </c>
      <c r="F600" s="43">
        <v>3500000</v>
      </c>
      <c r="K600" s="108">
        <v>3500000</v>
      </c>
      <c r="L600" s="66">
        <f t="shared" si="18"/>
        <v>3216000</v>
      </c>
      <c r="M600" s="153">
        <f>-PMT('Interface - Substantial impacts'!$I$42,'Interface - Substantial impacts'!$I$40,'DW Facility data'!L600)</f>
        <v>250457.54616137332</v>
      </c>
      <c r="N600" s="169">
        <f t="shared" si="19"/>
        <v>226406.40000000002</v>
      </c>
      <c r="O600" s="85">
        <v>391835</v>
      </c>
      <c r="P600" s="81">
        <v>113120</v>
      </c>
      <c r="V600" s="103" t="s">
        <v>2206</v>
      </c>
      <c r="W600" s="68">
        <v>311527</v>
      </c>
    </row>
    <row r="601" spans="1:23" x14ac:dyDescent="0.25">
      <c r="A601" s="40">
        <v>1720002</v>
      </c>
      <c r="B601" s="40" t="s">
        <v>1640</v>
      </c>
      <c r="C601" s="68">
        <v>2273</v>
      </c>
      <c r="D601" s="111">
        <v>982</v>
      </c>
      <c r="E601" s="40">
        <v>996000</v>
      </c>
      <c r="K601" s="108">
        <v>0</v>
      </c>
      <c r="L601" s="66">
        <f t="shared" si="18"/>
        <v>7968000</v>
      </c>
      <c r="M601" s="153">
        <f>-PMT('Interface - Substantial impacts'!$I$42,'Interface - Substantial impacts'!$I$40,'DW Facility data'!L601)</f>
        <v>620536.60690728319</v>
      </c>
      <c r="N601" s="169">
        <f t="shared" si="19"/>
        <v>560947.20000000007</v>
      </c>
      <c r="O601" s="85">
        <v>433377</v>
      </c>
      <c r="P601" s="81">
        <v>270736</v>
      </c>
      <c r="V601" s="103" t="s">
        <v>1206</v>
      </c>
      <c r="W601" s="68">
        <v>12066</v>
      </c>
    </row>
    <row r="602" spans="1:23" x14ac:dyDescent="0.25">
      <c r="A602" s="40">
        <v>1720004</v>
      </c>
      <c r="B602" s="40" t="s">
        <v>1920</v>
      </c>
      <c r="C602" s="68">
        <v>784</v>
      </c>
      <c r="D602" s="111">
        <v>416</v>
      </c>
      <c r="E602" s="40">
        <v>113800</v>
      </c>
      <c r="K602" s="108">
        <v>0</v>
      </c>
      <c r="L602" s="66">
        <f t="shared" si="18"/>
        <v>910400</v>
      </c>
      <c r="M602" s="153">
        <f>-PMT('Interface - Substantial impacts'!$I$42,'Interface - Substantial impacts'!$I$40,'DW Facility data'!L602)</f>
        <v>70900.668540209663</v>
      </c>
      <c r="N602" s="169">
        <f t="shared" si="19"/>
        <v>64092.160000000003</v>
      </c>
      <c r="O602" s="85">
        <v>154448</v>
      </c>
      <c r="P602" s="81">
        <v>101916</v>
      </c>
      <c r="V602" s="103" t="s">
        <v>1646</v>
      </c>
      <c r="W602" s="68">
        <v>323</v>
      </c>
    </row>
    <row r="603" spans="1:23" x14ac:dyDescent="0.25">
      <c r="A603" s="40">
        <v>1720005</v>
      </c>
      <c r="B603" s="40" t="s">
        <v>1749</v>
      </c>
      <c r="C603" s="68">
        <v>591</v>
      </c>
      <c r="D603" s="111">
        <v>201</v>
      </c>
      <c r="E603" s="40">
        <v>250800</v>
      </c>
      <c r="K603" s="108">
        <v>0</v>
      </c>
      <c r="L603" s="66">
        <f t="shared" si="18"/>
        <v>2006400</v>
      </c>
      <c r="M603" s="153">
        <f>-PMT('Interface - Substantial impacts'!$I$42,'Interface - Substantial impacts'!$I$40,'DW Facility data'!L603)</f>
        <v>156255.6034260508</v>
      </c>
      <c r="N603" s="169">
        <f t="shared" si="19"/>
        <v>141250.56</v>
      </c>
      <c r="O603" s="85">
        <v>91357</v>
      </c>
      <c r="P603" s="81">
        <v>15844</v>
      </c>
      <c r="V603" s="103" t="s">
        <v>1798</v>
      </c>
      <c r="W603" s="68">
        <v>2462</v>
      </c>
    </row>
    <row r="604" spans="1:23" x14ac:dyDescent="0.25">
      <c r="A604" s="40">
        <v>1720006</v>
      </c>
      <c r="B604" s="40" t="s">
        <v>1782</v>
      </c>
      <c r="C604" s="68">
        <v>960</v>
      </c>
      <c r="D604" s="111">
        <v>365</v>
      </c>
      <c r="E604" s="40">
        <v>120000</v>
      </c>
      <c r="K604" s="108">
        <v>0</v>
      </c>
      <c r="L604" s="66">
        <f t="shared" si="18"/>
        <v>960000</v>
      </c>
      <c r="M604" s="153">
        <f>-PMT('Interface - Substantial impacts'!$I$42,'Interface - Substantial impacts'!$I$40,'DW Facility data'!L604)</f>
        <v>74763.446615335313</v>
      </c>
      <c r="N604" s="169">
        <f t="shared" si="19"/>
        <v>67584</v>
      </c>
      <c r="O604" s="85">
        <v>369865</v>
      </c>
      <c r="P604" s="81">
        <v>277588</v>
      </c>
      <c r="V604" s="103" t="s">
        <v>1553</v>
      </c>
      <c r="W604" s="68">
        <v>63</v>
      </c>
    </row>
    <row r="605" spans="1:23" x14ac:dyDescent="0.25">
      <c r="A605" s="40">
        <v>1720007</v>
      </c>
      <c r="B605" s="40" t="s">
        <v>1863</v>
      </c>
      <c r="C605" s="68">
        <v>411</v>
      </c>
      <c r="D605" s="111">
        <v>259</v>
      </c>
      <c r="E605" s="40">
        <v>166000</v>
      </c>
      <c r="K605" s="108">
        <v>0</v>
      </c>
      <c r="L605" s="66">
        <f t="shared" si="18"/>
        <v>1328000</v>
      </c>
      <c r="M605" s="153">
        <f>-PMT('Interface - Substantial impacts'!$I$42,'Interface - Substantial impacts'!$I$40,'DW Facility data'!L605)</f>
        <v>103422.76781788052</v>
      </c>
      <c r="N605" s="169">
        <f t="shared" si="19"/>
        <v>93491.200000000012</v>
      </c>
      <c r="O605" s="85">
        <v>203243</v>
      </c>
      <c r="P605" s="81">
        <v>45441</v>
      </c>
      <c r="V605" s="103" t="s">
        <v>1681</v>
      </c>
      <c r="W605" s="68">
        <v>19351</v>
      </c>
    </row>
    <row r="606" spans="1:23" x14ac:dyDescent="0.25">
      <c r="A606" s="40">
        <v>1720008</v>
      </c>
      <c r="B606" s="40" t="s">
        <v>1260</v>
      </c>
      <c r="C606" s="68">
        <v>1332</v>
      </c>
      <c r="D606" s="111">
        <v>698</v>
      </c>
      <c r="E606" s="40">
        <v>926000</v>
      </c>
      <c r="K606" s="108">
        <v>0</v>
      </c>
      <c r="L606" s="66">
        <f t="shared" si="18"/>
        <v>7408000</v>
      </c>
      <c r="M606" s="153">
        <f>-PMT('Interface - Substantial impacts'!$I$42,'Interface - Substantial impacts'!$I$40,'DW Facility data'!L606)</f>
        <v>576924.59638167091</v>
      </c>
      <c r="N606" s="169">
        <f t="shared" si="19"/>
        <v>521523.20000000001</v>
      </c>
      <c r="O606" s="85">
        <v>502982</v>
      </c>
      <c r="P606" s="81">
        <v>37125</v>
      </c>
      <c r="V606" s="103" t="s">
        <v>1208</v>
      </c>
      <c r="W606" s="68">
        <v>4555</v>
      </c>
    </row>
    <row r="607" spans="1:23" x14ac:dyDescent="0.25">
      <c r="A607" s="40">
        <v>1730001</v>
      </c>
      <c r="B607" s="40" t="s">
        <v>1877</v>
      </c>
      <c r="C607" s="68">
        <v>2780</v>
      </c>
      <c r="D607" s="112">
        <v>1065</v>
      </c>
      <c r="E607" s="40">
        <v>692000</v>
      </c>
      <c r="K607" s="108">
        <v>0</v>
      </c>
      <c r="L607" s="66">
        <f t="shared" si="18"/>
        <v>5536000</v>
      </c>
      <c r="M607" s="153">
        <f>-PMT('Interface - Substantial impacts'!$I$42,'Interface - Substantial impacts'!$I$40,'DW Facility data'!L607)</f>
        <v>431135.875481767</v>
      </c>
      <c r="N607" s="169">
        <f t="shared" si="19"/>
        <v>389734.40000000002</v>
      </c>
      <c r="O607" s="85">
        <v>463059</v>
      </c>
      <c r="P607" s="81">
        <v>302261</v>
      </c>
      <c r="V607" s="103" t="s">
        <v>1582</v>
      </c>
      <c r="W607" s="68">
        <v>13862</v>
      </c>
    </row>
    <row r="608" spans="1:23" x14ac:dyDescent="0.25">
      <c r="A608" s="40">
        <v>1730002</v>
      </c>
      <c r="B608" s="40" t="s">
        <v>997</v>
      </c>
      <c r="C608" s="68">
        <v>1618</v>
      </c>
      <c r="D608" s="111">
        <v>656</v>
      </c>
      <c r="E608" s="40">
        <v>322000</v>
      </c>
      <c r="K608" s="108">
        <v>0</v>
      </c>
      <c r="L608" s="66">
        <f t="shared" si="18"/>
        <v>2576000</v>
      </c>
      <c r="M608" s="153">
        <f>-PMT('Interface - Substantial impacts'!$I$42,'Interface - Substantial impacts'!$I$40,'DW Facility data'!L608)</f>
        <v>200615.24841781644</v>
      </c>
      <c r="N608" s="169">
        <f t="shared" si="19"/>
        <v>181350.40000000002</v>
      </c>
      <c r="O608" s="85">
        <v>221060</v>
      </c>
      <c r="P608" s="81">
        <v>106264</v>
      </c>
      <c r="V608" s="103" t="s">
        <v>1664</v>
      </c>
      <c r="W608" s="68">
        <v>32465</v>
      </c>
    </row>
    <row r="609" spans="1:23" x14ac:dyDescent="0.25">
      <c r="A609" s="40">
        <v>1730004</v>
      </c>
      <c r="B609" s="40" t="s">
        <v>1890</v>
      </c>
      <c r="C609" s="68">
        <v>738</v>
      </c>
      <c r="D609" s="111">
        <v>408</v>
      </c>
      <c r="E609" s="40">
        <v>204000</v>
      </c>
      <c r="K609" s="108">
        <v>0</v>
      </c>
      <c r="L609" s="66">
        <f t="shared" si="18"/>
        <v>1632000</v>
      </c>
      <c r="M609" s="153">
        <f>-PMT('Interface - Substantial impacts'!$I$42,'Interface - Substantial impacts'!$I$40,'DW Facility data'!L609)</f>
        <v>127097.85924607005</v>
      </c>
      <c r="N609" s="169">
        <f t="shared" si="19"/>
        <v>114892.8</v>
      </c>
      <c r="O609" s="85">
        <v>172161</v>
      </c>
      <c r="P609" s="81">
        <v>21132</v>
      </c>
      <c r="V609" s="103" t="s">
        <v>2037</v>
      </c>
      <c r="W609" s="68">
        <v>987</v>
      </c>
    </row>
    <row r="610" spans="1:23" x14ac:dyDescent="0.25">
      <c r="A610" s="40">
        <v>1730005</v>
      </c>
      <c r="B610" s="40" t="s">
        <v>1670</v>
      </c>
      <c r="C610" s="68">
        <v>626</v>
      </c>
      <c r="D610" s="111">
        <v>292</v>
      </c>
      <c r="E610" s="108">
        <v>185000</v>
      </c>
      <c r="F610" s="108">
        <v>2000000</v>
      </c>
      <c r="G610" s="108"/>
      <c r="H610" s="108"/>
      <c r="I610" s="108"/>
      <c r="J610" s="108"/>
      <c r="K610" s="108">
        <v>2000000</v>
      </c>
      <c r="L610" s="66">
        <f t="shared" si="18"/>
        <v>1480000</v>
      </c>
      <c r="M610" s="153">
        <f>-PMT('Interface - Substantial impacts'!$I$42,'Interface - Substantial impacts'!$I$40,'DW Facility data'!L610)</f>
        <v>115260.31353197529</v>
      </c>
      <c r="N610" s="169">
        <f t="shared" si="19"/>
        <v>104192</v>
      </c>
      <c r="O610" s="85">
        <v>106042</v>
      </c>
      <c r="P610" s="81">
        <v>46581</v>
      </c>
      <c r="V610" s="103" t="s">
        <v>2035</v>
      </c>
      <c r="W610" s="68">
        <v>82</v>
      </c>
    </row>
    <row r="611" spans="1:23" x14ac:dyDescent="0.25">
      <c r="A611" s="40">
        <v>1730006</v>
      </c>
      <c r="B611" s="40" t="s">
        <v>1025</v>
      </c>
      <c r="C611" s="68">
        <v>4164</v>
      </c>
      <c r="D611" s="112">
        <v>1727</v>
      </c>
      <c r="E611" s="40">
        <v>1868000</v>
      </c>
      <c r="F611" s="43">
        <v>5564697</v>
      </c>
      <c r="K611" s="108">
        <v>5564697</v>
      </c>
      <c r="L611" s="66">
        <f t="shared" si="18"/>
        <v>14944000</v>
      </c>
      <c r="M611" s="153">
        <f>-PMT('Interface - Substantial impacts'!$I$42,'Interface - Substantial impacts'!$I$40,'DW Facility data'!L611)</f>
        <v>1163817.6523120531</v>
      </c>
      <c r="N611" s="169">
        <f t="shared" si="19"/>
        <v>1052057.6000000001</v>
      </c>
      <c r="O611" s="85">
        <v>889379</v>
      </c>
      <c r="P611" s="81">
        <v>47870</v>
      </c>
      <c r="V611" s="103" t="s">
        <v>1565</v>
      </c>
      <c r="W611" s="68">
        <v>741</v>
      </c>
    </row>
    <row r="612" spans="1:23" x14ac:dyDescent="0.25">
      <c r="A612" s="40">
        <v>1730014</v>
      </c>
      <c r="B612" s="40" t="s">
        <v>1083</v>
      </c>
      <c r="C612" s="68">
        <v>743</v>
      </c>
      <c r="D612" s="111">
        <v>332</v>
      </c>
      <c r="E612" s="40">
        <v>175000</v>
      </c>
      <c r="F612" s="43">
        <v>181200</v>
      </c>
      <c r="K612" s="108">
        <v>181200</v>
      </c>
      <c r="L612" s="66">
        <f t="shared" si="18"/>
        <v>1400000</v>
      </c>
      <c r="M612" s="153">
        <f>-PMT('Interface - Substantial impacts'!$I$42,'Interface - Substantial impacts'!$I$40,'DW Facility data'!L612)</f>
        <v>109030.02631403068</v>
      </c>
      <c r="N612" s="169">
        <f t="shared" si="19"/>
        <v>98560</v>
      </c>
      <c r="O612" s="85">
        <v>143913</v>
      </c>
      <c r="P612" s="81">
        <v>58024</v>
      </c>
      <c r="V612" s="103" t="s">
        <v>1750</v>
      </c>
      <c r="W612" s="68">
        <v>1142</v>
      </c>
    </row>
    <row r="613" spans="1:23" x14ac:dyDescent="0.25">
      <c r="A613" s="40">
        <v>1730015</v>
      </c>
      <c r="B613" s="40" t="s">
        <v>1630</v>
      </c>
      <c r="C613" s="68">
        <v>799</v>
      </c>
      <c r="D613" s="111">
        <v>322</v>
      </c>
      <c r="E613" s="40">
        <v>160000</v>
      </c>
      <c r="K613" s="108">
        <v>0</v>
      </c>
      <c r="L613" s="66">
        <f t="shared" si="18"/>
        <v>1280000</v>
      </c>
      <c r="M613" s="153">
        <f>-PMT('Interface - Substantial impacts'!$I$42,'Interface - Substantial impacts'!$I$40,'DW Facility data'!L613)</f>
        <v>99684.595487113766</v>
      </c>
      <c r="N613" s="169">
        <f t="shared" si="19"/>
        <v>90112</v>
      </c>
      <c r="O613" s="85">
        <v>276648</v>
      </c>
      <c r="P613" s="81">
        <v>5084</v>
      </c>
      <c r="V613" s="103" t="s">
        <v>1511</v>
      </c>
      <c r="W613" s="68">
        <v>43698</v>
      </c>
    </row>
    <row r="614" spans="1:23" x14ac:dyDescent="0.25">
      <c r="A614" s="40">
        <v>1730016</v>
      </c>
      <c r="B614" s="40" t="s">
        <v>1133</v>
      </c>
      <c r="C614" s="68">
        <v>3602</v>
      </c>
      <c r="D614" s="112">
        <v>1667</v>
      </c>
      <c r="E614" s="40">
        <v>3090000</v>
      </c>
      <c r="K614" s="108">
        <v>0</v>
      </c>
      <c r="L614" s="66">
        <f t="shared" si="18"/>
        <v>24720000</v>
      </c>
      <c r="M614" s="153">
        <f>-PMT('Interface - Substantial impacts'!$I$42,'Interface - Substantial impacts'!$I$40,'DW Facility data'!L614)</f>
        <v>1925158.7503448843</v>
      </c>
      <c r="N614" s="169">
        <f t="shared" si="19"/>
        <v>1740288</v>
      </c>
      <c r="O614" s="85">
        <v>840517</v>
      </c>
      <c r="P614" s="81">
        <v>0</v>
      </c>
      <c r="V614" s="103" t="s">
        <v>1902</v>
      </c>
      <c r="W614" s="68">
        <v>179</v>
      </c>
    </row>
    <row r="615" spans="1:23" x14ac:dyDescent="0.25">
      <c r="A615" s="40">
        <v>1730017</v>
      </c>
      <c r="B615" s="40" t="s">
        <v>1747</v>
      </c>
      <c r="C615" s="68">
        <v>356</v>
      </c>
      <c r="D615" s="111">
        <v>118</v>
      </c>
      <c r="E615" s="40">
        <v>108000</v>
      </c>
      <c r="K615" s="108">
        <v>0</v>
      </c>
      <c r="L615" s="66">
        <f t="shared" si="18"/>
        <v>864000</v>
      </c>
      <c r="M615" s="153">
        <f>-PMT('Interface - Substantial impacts'!$I$42,'Interface - Substantial impacts'!$I$40,'DW Facility data'!L615)</f>
        <v>67287.101953801786</v>
      </c>
      <c r="N615" s="169">
        <f t="shared" si="19"/>
        <v>60825.600000000006</v>
      </c>
      <c r="O615" s="85">
        <v>21184</v>
      </c>
      <c r="P615" s="81">
        <v>0</v>
      </c>
      <c r="V615" s="103" t="s">
        <v>1210</v>
      </c>
      <c r="W615" s="68">
        <v>1058</v>
      </c>
    </row>
    <row r="616" spans="1:23" x14ac:dyDescent="0.25">
      <c r="A616" s="40">
        <v>1730018</v>
      </c>
      <c r="B616" s="40" t="s">
        <v>1819</v>
      </c>
      <c r="C616" s="68">
        <v>2388</v>
      </c>
      <c r="D616" s="112">
        <v>1138</v>
      </c>
      <c r="E616" s="40">
        <v>713000</v>
      </c>
      <c r="K616" s="108">
        <v>0</v>
      </c>
      <c r="L616" s="66">
        <f t="shared" si="18"/>
        <v>5704000</v>
      </c>
      <c r="M616" s="153">
        <f>-PMT('Interface - Substantial impacts'!$I$42,'Interface - Substantial impacts'!$I$40,'DW Facility data'!L616)</f>
        <v>444219.47863945074</v>
      </c>
      <c r="N616" s="169">
        <f t="shared" si="19"/>
        <v>401561.60000000003</v>
      </c>
      <c r="O616" s="85">
        <v>548432</v>
      </c>
      <c r="P616" s="81">
        <v>213867</v>
      </c>
      <c r="V616" s="103" t="s">
        <v>1905</v>
      </c>
      <c r="W616" s="68">
        <v>26921</v>
      </c>
    </row>
    <row r="617" spans="1:23" x14ac:dyDescent="0.25">
      <c r="A617" s="40">
        <v>1730022</v>
      </c>
      <c r="B617" s="40" t="s">
        <v>1820</v>
      </c>
      <c r="C617" s="68">
        <v>1475</v>
      </c>
      <c r="D617" s="111">
        <v>591</v>
      </c>
      <c r="E617" s="40">
        <v>258000</v>
      </c>
      <c r="K617" s="108">
        <v>0</v>
      </c>
      <c r="L617" s="66">
        <f t="shared" si="18"/>
        <v>2064000</v>
      </c>
      <c r="M617" s="153">
        <f>-PMT('Interface - Substantial impacts'!$I$42,'Interface - Substantial impacts'!$I$40,'DW Facility data'!L617)</f>
        <v>160741.41022297094</v>
      </c>
      <c r="N617" s="169">
        <f t="shared" si="19"/>
        <v>145305.60000000001</v>
      </c>
      <c r="O617" s="85">
        <v>184439</v>
      </c>
      <c r="P617" s="81">
        <v>85883</v>
      </c>
      <c r="V617" s="103" t="s">
        <v>1641</v>
      </c>
      <c r="W617" s="68">
        <v>7783</v>
      </c>
    </row>
    <row r="618" spans="1:23" x14ac:dyDescent="0.25">
      <c r="A618" s="40">
        <v>1730026</v>
      </c>
      <c r="B618" s="40" t="s">
        <v>1671</v>
      </c>
      <c r="C618" s="68">
        <v>2382</v>
      </c>
      <c r="D618" s="112">
        <v>1163</v>
      </c>
      <c r="E618" s="40">
        <v>140000</v>
      </c>
      <c r="K618" s="108">
        <v>0</v>
      </c>
      <c r="L618" s="66">
        <f t="shared" si="18"/>
        <v>1120000</v>
      </c>
      <c r="M618" s="153">
        <f>-PMT('Interface - Substantial impacts'!$I$42,'Interface - Substantial impacts'!$I$40,'DW Facility data'!L618)</f>
        <v>87224.021051224539</v>
      </c>
      <c r="N618" s="169">
        <f t="shared" si="19"/>
        <v>78848</v>
      </c>
      <c r="O618" s="85">
        <v>167569</v>
      </c>
      <c r="P618" s="81">
        <v>379540</v>
      </c>
      <c r="V618" s="103" t="s">
        <v>1793</v>
      </c>
      <c r="W618" s="68">
        <v>1857</v>
      </c>
    </row>
    <row r="619" spans="1:23" x14ac:dyDescent="0.25">
      <c r="A619" s="40">
        <v>1730027</v>
      </c>
      <c r="B619" s="40" t="s">
        <v>1821</v>
      </c>
      <c r="C619" s="68">
        <v>68881</v>
      </c>
      <c r="D619" s="112">
        <v>28559</v>
      </c>
      <c r="E619" s="40">
        <v>15300000</v>
      </c>
      <c r="F619" s="43">
        <v>40055140</v>
      </c>
      <c r="K619" s="108">
        <v>40055140</v>
      </c>
      <c r="L619" s="66">
        <f t="shared" si="18"/>
        <v>122400000</v>
      </c>
      <c r="M619" s="153">
        <f>-PMT('Interface - Substantial impacts'!$I$42,'Interface - Substantial impacts'!$I$40,'DW Facility data'!L619)</f>
        <v>9532339.4434552528</v>
      </c>
      <c r="N619" s="169">
        <f t="shared" si="19"/>
        <v>8616960</v>
      </c>
      <c r="O619" s="85">
        <v>11505671</v>
      </c>
      <c r="P619" s="81">
        <v>2169552</v>
      </c>
      <c r="V619" s="103" t="s">
        <v>1669</v>
      </c>
      <c r="W619" s="68">
        <v>866</v>
      </c>
    </row>
    <row r="620" spans="1:23" x14ac:dyDescent="0.25">
      <c r="A620" s="40">
        <v>1730033</v>
      </c>
      <c r="B620" s="40" t="s">
        <v>1822</v>
      </c>
      <c r="C620" s="68">
        <v>7029</v>
      </c>
      <c r="D620" s="112">
        <v>2358</v>
      </c>
      <c r="E620" s="40">
        <v>1710300</v>
      </c>
      <c r="K620" s="108">
        <v>0</v>
      </c>
      <c r="L620" s="66">
        <f t="shared" si="18"/>
        <v>13682400</v>
      </c>
      <c r="M620" s="153">
        <f>-PMT('Interface - Substantial impacts'!$I$42,'Interface - Substantial impacts'!$I$40,'DW Facility data'!L620)</f>
        <v>1065566.0228850667</v>
      </c>
      <c r="N620" s="169">
        <f t="shared" si="19"/>
        <v>963240.96000000008</v>
      </c>
      <c r="O620" s="85">
        <v>885076</v>
      </c>
      <c r="P620" s="81">
        <v>691099</v>
      </c>
      <c r="V620" s="103" t="s">
        <v>1866</v>
      </c>
      <c r="W620" s="68">
        <v>288</v>
      </c>
    </row>
    <row r="621" spans="1:23" x14ac:dyDescent="0.25">
      <c r="A621" s="40">
        <v>1730035</v>
      </c>
      <c r="B621" s="40" t="s">
        <v>1907</v>
      </c>
      <c r="C621" s="68">
        <v>312</v>
      </c>
      <c r="D621" s="111">
        <v>140</v>
      </c>
      <c r="E621" s="40">
        <v>100000</v>
      </c>
      <c r="K621" s="108">
        <v>0</v>
      </c>
      <c r="L621" s="66">
        <f t="shared" si="18"/>
        <v>800000</v>
      </c>
      <c r="M621" s="153">
        <f>-PMT('Interface - Substantial impacts'!$I$42,'Interface - Substantial impacts'!$I$40,'DW Facility data'!L621)</f>
        <v>62302.872179446102</v>
      </c>
      <c r="N621" s="169">
        <f t="shared" si="19"/>
        <v>56320</v>
      </c>
      <c r="O621" s="85">
        <v>43478</v>
      </c>
      <c r="P621" s="81">
        <v>0</v>
      </c>
      <c r="V621" s="103" t="s">
        <v>1653</v>
      </c>
      <c r="W621" s="68">
        <v>2013</v>
      </c>
    </row>
    <row r="622" spans="1:23" x14ac:dyDescent="0.25">
      <c r="A622" s="40">
        <v>1730036</v>
      </c>
      <c r="B622" s="108" t="s">
        <v>1681</v>
      </c>
      <c r="C622" s="68">
        <v>19351</v>
      </c>
      <c r="D622" s="112">
        <v>7243</v>
      </c>
      <c r="E622" s="40">
        <v>3600000</v>
      </c>
      <c r="K622" s="108">
        <v>0</v>
      </c>
      <c r="L622" s="66">
        <f t="shared" si="18"/>
        <v>28800000</v>
      </c>
      <c r="M622" s="153">
        <f>-PMT('Interface - Substantial impacts'!$I$42,'Interface - Substantial impacts'!$I$40,'DW Facility data'!L622)</f>
        <v>2242903.3984600594</v>
      </c>
      <c r="N622" s="169">
        <f t="shared" si="19"/>
        <v>2027520.0000000002</v>
      </c>
      <c r="O622" s="104">
        <v>2202974</v>
      </c>
      <c r="P622" s="81">
        <v>1206332</v>
      </c>
      <c r="V622" s="109"/>
      <c r="W622" s="69"/>
    </row>
    <row r="623" spans="1:23" x14ac:dyDescent="0.25">
      <c r="A623" s="40">
        <v>1730037</v>
      </c>
      <c r="B623" s="108" t="s">
        <v>1208</v>
      </c>
      <c r="C623" s="68">
        <v>4555</v>
      </c>
      <c r="D623" s="112">
        <v>2062</v>
      </c>
      <c r="E623" s="40">
        <v>900000</v>
      </c>
      <c r="K623" s="108">
        <v>0</v>
      </c>
      <c r="L623" s="66">
        <f t="shared" si="18"/>
        <v>7200000</v>
      </c>
      <c r="M623" s="153">
        <f>-PMT('Interface - Substantial impacts'!$I$42,'Interface - Substantial impacts'!$I$40,'DW Facility data'!L623)</f>
        <v>560725.84961501486</v>
      </c>
      <c r="N623" s="169">
        <f t="shared" si="19"/>
        <v>506880.00000000006</v>
      </c>
      <c r="O623" s="104">
        <v>665469</v>
      </c>
      <c r="P623" s="81">
        <v>0</v>
      </c>
      <c r="V623" s="109"/>
      <c r="W623" s="69"/>
    </row>
    <row r="624" spans="1:23" x14ac:dyDescent="0.25">
      <c r="A624" s="40">
        <v>1730039</v>
      </c>
      <c r="B624" s="108" t="s">
        <v>1558</v>
      </c>
      <c r="C624" s="68">
        <v>8341</v>
      </c>
      <c r="D624" s="112">
        <v>3630</v>
      </c>
      <c r="E624" s="40">
        <v>1736000</v>
      </c>
      <c r="K624" s="108">
        <v>0</v>
      </c>
      <c r="L624" s="66">
        <f t="shared" si="18"/>
        <v>13888000</v>
      </c>
      <c r="M624" s="153">
        <f>-PMT('Interface - Substantial impacts'!$I$42,'Interface - Substantial impacts'!$I$40,'DW Facility data'!L624)</f>
        <v>1081577.8610351842</v>
      </c>
      <c r="N624" s="169">
        <f t="shared" si="19"/>
        <v>977715.20000000007</v>
      </c>
      <c r="O624" s="85">
        <v>2011284</v>
      </c>
      <c r="P624" s="81">
        <v>432860</v>
      </c>
      <c r="V624" s="103" t="s">
        <v>1730</v>
      </c>
      <c r="W624" s="68">
        <v>185</v>
      </c>
    </row>
    <row r="625" spans="1:23" x14ac:dyDescent="0.25">
      <c r="A625" s="40">
        <v>1730043</v>
      </c>
      <c r="B625" s="40" t="s">
        <v>1672</v>
      </c>
      <c r="C625" s="68">
        <v>130</v>
      </c>
      <c r="D625" s="111">
        <v>55</v>
      </c>
      <c r="E625" s="40">
        <v>20000</v>
      </c>
      <c r="K625" s="108">
        <v>0</v>
      </c>
      <c r="L625" s="66">
        <f t="shared" si="18"/>
        <v>160000</v>
      </c>
      <c r="M625" s="153">
        <f>-PMT('Interface - Substantial impacts'!$I$42,'Interface - Substantial impacts'!$I$40,'DW Facility data'!L625)</f>
        <v>12460.574435889221</v>
      </c>
      <c r="N625" s="169">
        <f t="shared" si="19"/>
        <v>11264</v>
      </c>
      <c r="O625" s="85">
        <v>12904</v>
      </c>
      <c r="P625" s="81">
        <v>0</v>
      </c>
      <c r="V625" s="103" t="s">
        <v>1689</v>
      </c>
      <c r="W625" s="68">
        <v>20759</v>
      </c>
    </row>
    <row r="626" spans="1:23" x14ac:dyDescent="0.25">
      <c r="A626" s="40">
        <v>1730063</v>
      </c>
      <c r="B626" s="40" t="s">
        <v>2013</v>
      </c>
      <c r="C626" s="68">
        <v>3497</v>
      </c>
      <c r="D626" s="112">
        <v>1258</v>
      </c>
      <c r="E626" s="40">
        <v>145600</v>
      </c>
      <c r="F626" s="43">
        <v>7548900</v>
      </c>
      <c r="K626" s="108">
        <v>7548900</v>
      </c>
      <c r="L626" s="66">
        <f t="shared" si="18"/>
        <v>1164800</v>
      </c>
      <c r="M626" s="153">
        <f>-PMT('Interface - Substantial impacts'!$I$42,'Interface - Substantial impacts'!$I$40,'DW Facility data'!L626)</f>
        <v>90712.981893273522</v>
      </c>
      <c r="N626" s="169">
        <f t="shared" si="19"/>
        <v>82001.919999999998</v>
      </c>
      <c r="O626" s="85">
        <v>298549</v>
      </c>
      <c r="P626" s="81">
        <v>247591</v>
      </c>
      <c r="V626" s="103" t="s">
        <v>2009</v>
      </c>
      <c r="W626" s="68">
        <v>1112</v>
      </c>
    </row>
    <row r="627" spans="1:23" x14ac:dyDescent="0.25">
      <c r="A627" s="40">
        <v>1740001</v>
      </c>
      <c r="B627" s="40" t="s">
        <v>1005</v>
      </c>
      <c r="C627" s="68">
        <v>1974</v>
      </c>
      <c r="D627" s="111">
        <v>877</v>
      </c>
      <c r="E627" s="40">
        <v>350000</v>
      </c>
      <c r="K627" s="108">
        <v>0</v>
      </c>
      <c r="L627" s="66">
        <f t="shared" si="18"/>
        <v>2800000</v>
      </c>
      <c r="M627" s="153">
        <f>-PMT('Interface - Substantial impacts'!$I$42,'Interface - Substantial impacts'!$I$40,'DW Facility data'!L627)</f>
        <v>218060.05262806136</v>
      </c>
      <c r="N627" s="169">
        <f t="shared" si="19"/>
        <v>197120</v>
      </c>
      <c r="O627" s="85">
        <v>268488</v>
      </c>
      <c r="P627" s="81">
        <v>107105</v>
      </c>
      <c r="V627" s="103" t="s">
        <v>1738</v>
      </c>
      <c r="W627" s="68">
        <v>1256</v>
      </c>
    </row>
    <row r="628" spans="1:23" x14ac:dyDescent="0.25">
      <c r="A628" s="40">
        <v>1740003</v>
      </c>
      <c r="B628" s="40" t="s">
        <v>1917</v>
      </c>
      <c r="C628" s="68">
        <v>676</v>
      </c>
      <c r="D628" s="111">
        <v>352</v>
      </c>
      <c r="E628" s="40">
        <v>150000</v>
      </c>
      <c r="K628" s="108">
        <v>0</v>
      </c>
      <c r="L628" s="66">
        <f t="shared" si="18"/>
        <v>1200000</v>
      </c>
      <c r="M628" s="153">
        <f>-PMT('Interface - Substantial impacts'!$I$42,'Interface - Substantial impacts'!$I$40,'DW Facility data'!L628)</f>
        <v>93454.308269169138</v>
      </c>
      <c r="N628" s="169">
        <f t="shared" si="19"/>
        <v>84480</v>
      </c>
      <c r="O628" s="85">
        <v>233477</v>
      </c>
      <c r="P628" s="81">
        <v>204366</v>
      </c>
      <c r="V628" s="103" t="s">
        <v>1843</v>
      </c>
      <c r="W628" s="68">
        <v>7188</v>
      </c>
    </row>
    <row r="629" spans="1:23" x14ac:dyDescent="0.25">
      <c r="A629" s="40">
        <v>1740005</v>
      </c>
      <c r="B629" s="40" t="s">
        <v>1543</v>
      </c>
      <c r="C629" s="68">
        <v>1315</v>
      </c>
      <c r="D629" s="111">
        <v>459</v>
      </c>
      <c r="E629" s="40">
        <v>350000</v>
      </c>
      <c r="K629" s="108">
        <v>0</v>
      </c>
      <c r="L629" s="66">
        <f t="shared" si="18"/>
        <v>2800000</v>
      </c>
      <c r="M629" s="153">
        <f>-PMT('Interface - Substantial impacts'!$I$42,'Interface - Substantial impacts'!$I$40,'DW Facility data'!L629)</f>
        <v>218060.05262806136</v>
      </c>
      <c r="N629" s="169">
        <f t="shared" si="19"/>
        <v>197120</v>
      </c>
      <c r="O629" s="85">
        <v>383621</v>
      </c>
      <c r="P629" s="81">
        <v>154568</v>
      </c>
      <c r="V629" s="103" t="s">
        <v>1468</v>
      </c>
      <c r="W629" s="68">
        <v>1734</v>
      </c>
    </row>
    <row r="630" spans="1:23" x14ac:dyDescent="0.25">
      <c r="A630" s="40">
        <v>1740007</v>
      </c>
      <c r="B630" s="40" t="s">
        <v>1165</v>
      </c>
      <c r="C630" s="68">
        <v>26420</v>
      </c>
      <c r="D630" s="112">
        <v>11083</v>
      </c>
      <c r="E630" s="40">
        <v>5445000</v>
      </c>
      <c r="K630" s="108">
        <v>0</v>
      </c>
      <c r="L630" s="66">
        <f t="shared" si="18"/>
        <v>43560000</v>
      </c>
      <c r="M630" s="153">
        <f>-PMT('Interface - Substantial impacts'!$I$42,'Interface - Substantial impacts'!$I$40,'DW Facility data'!L630)</f>
        <v>3392391.3901708401</v>
      </c>
      <c r="N630" s="169">
        <f t="shared" si="19"/>
        <v>3066624</v>
      </c>
      <c r="O630" s="85">
        <v>3366652</v>
      </c>
      <c r="P630" s="81">
        <v>0</v>
      </c>
      <c r="V630" s="103" t="s">
        <v>1214</v>
      </c>
      <c r="W630" s="68">
        <v>2447</v>
      </c>
    </row>
    <row r="631" spans="1:23" x14ac:dyDescent="0.25">
      <c r="A631" s="40">
        <v>1750001</v>
      </c>
      <c r="B631" s="40" t="s">
        <v>2010</v>
      </c>
      <c r="C631" s="68">
        <v>94</v>
      </c>
      <c r="D631" s="111">
        <v>60</v>
      </c>
      <c r="E631" s="40">
        <v>40000</v>
      </c>
      <c r="K631" s="108">
        <v>0</v>
      </c>
      <c r="L631" s="66">
        <f t="shared" si="18"/>
        <v>320000</v>
      </c>
      <c r="M631" s="153">
        <f>-PMT('Interface - Substantial impacts'!$I$42,'Interface - Substantial impacts'!$I$40,'DW Facility data'!L631)</f>
        <v>24921.148871778441</v>
      </c>
      <c r="N631" s="169">
        <f t="shared" si="19"/>
        <v>22528</v>
      </c>
      <c r="O631" s="85">
        <v>45995</v>
      </c>
      <c r="P631" s="81">
        <v>20013</v>
      </c>
      <c r="V631" s="103" t="s">
        <v>1216</v>
      </c>
      <c r="W631" s="68">
        <v>2027</v>
      </c>
    </row>
    <row r="632" spans="1:23" x14ac:dyDescent="0.25">
      <c r="A632" s="40">
        <v>1750002</v>
      </c>
      <c r="B632" s="40" t="s">
        <v>1840</v>
      </c>
      <c r="C632" s="68">
        <v>405</v>
      </c>
      <c r="D632" s="111">
        <v>239</v>
      </c>
      <c r="E632" s="40">
        <v>90000</v>
      </c>
      <c r="K632" s="108">
        <v>0</v>
      </c>
      <c r="L632" s="66">
        <f t="shared" si="18"/>
        <v>720000</v>
      </c>
      <c r="M632" s="153">
        <f>-PMT('Interface - Substantial impacts'!$I$42,'Interface - Substantial impacts'!$I$40,'DW Facility data'!L632)</f>
        <v>56072.584961501489</v>
      </c>
      <c r="N632" s="169">
        <f t="shared" si="19"/>
        <v>50688</v>
      </c>
      <c r="O632" s="85">
        <v>96512</v>
      </c>
      <c r="P632" s="81">
        <v>65591</v>
      </c>
      <c r="V632" s="103" t="s">
        <v>1751</v>
      </c>
      <c r="W632" s="68">
        <v>1703</v>
      </c>
    </row>
    <row r="633" spans="1:23" x14ac:dyDescent="0.25">
      <c r="A633" s="40">
        <v>1750003</v>
      </c>
      <c r="B633" s="40" t="s">
        <v>1499</v>
      </c>
      <c r="C633" s="68">
        <v>221</v>
      </c>
      <c r="D633" s="111">
        <v>146</v>
      </c>
      <c r="E633" s="40">
        <v>100000</v>
      </c>
      <c r="K633" s="108">
        <v>0</v>
      </c>
      <c r="L633" s="66">
        <f t="shared" si="18"/>
        <v>800000</v>
      </c>
      <c r="M633" s="153">
        <f>-PMT('Interface - Substantial impacts'!$I$42,'Interface - Substantial impacts'!$I$40,'DW Facility data'!L633)</f>
        <v>62302.872179446102</v>
      </c>
      <c r="N633" s="169">
        <f t="shared" si="19"/>
        <v>56320</v>
      </c>
      <c r="O633" s="85">
        <v>48435</v>
      </c>
      <c r="P633" s="81">
        <v>0</v>
      </c>
      <c r="V633" s="103" t="s">
        <v>1218</v>
      </c>
      <c r="W633" s="68">
        <v>2989</v>
      </c>
    </row>
    <row r="634" spans="1:23" x14ac:dyDescent="0.25">
      <c r="A634" s="40">
        <v>1750004</v>
      </c>
      <c r="B634" s="40" t="s">
        <v>1500</v>
      </c>
      <c r="C634" s="68">
        <v>863</v>
      </c>
      <c r="D634" s="111">
        <v>317</v>
      </c>
      <c r="E634" s="40">
        <v>200000</v>
      </c>
      <c r="K634" s="108">
        <v>0</v>
      </c>
      <c r="L634" s="66">
        <f t="shared" si="18"/>
        <v>1600000</v>
      </c>
      <c r="M634" s="153">
        <f>-PMT('Interface - Substantial impacts'!$I$42,'Interface - Substantial impacts'!$I$40,'DW Facility data'!L634)</f>
        <v>124605.7443588922</v>
      </c>
      <c r="N634" s="169">
        <f t="shared" si="19"/>
        <v>112640</v>
      </c>
      <c r="O634" s="85">
        <v>163156</v>
      </c>
      <c r="P634" s="81">
        <v>95001</v>
      </c>
      <c r="V634" s="103" t="s">
        <v>1220</v>
      </c>
      <c r="W634" s="68">
        <v>1365</v>
      </c>
    </row>
    <row r="635" spans="1:23" x14ac:dyDescent="0.25">
      <c r="A635" s="40">
        <v>1750005</v>
      </c>
      <c r="B635" s="40" t="s">
        <v>1141</v>
      </c>
      <c r="C635" s="68">
        <v>5105</v>
      </c>
      <c r="D635" s="112">
        <v>2362</v>
      </c>
      <c r="E635" s="40">
        <v>800000</v>
      </c>
      <c r="K635" s="108">
        <v>0</v>
      </c>
      <c r="L635" s="66">
        <f t="shared" si="18"/>
        <v>6400000</v>
      </c>
      <c r="M635" s="153">
        <f>-PMT('Interface - Substantial impacts'!$I$42,'Interface - Substantial impacts'!$I$40,'DW Facility data'!L635)</f>
        <v>498422.97743556881</v>
      </c>
      <c r="N635" s="169">
        <f t="shared" si="19"/>
        <v>450560</v>
      </c>
      <c r="O635" s="85">
        <v>1480457</v>
      </c>
      <c r="P635" s="81">
        <v>235404</v>
      </c>
      <c r="V635" s="103" t="s">
        <v>1975</v>
      </c>
      <c r="W635" s="68">
        <v>171</v>
      </c>
    </row>
    <row r="636" spans="1:23" x14ac:dyDescent="0.25">
      <c r="A636" s="40">
        <v>1760001</v>
      </c>
      <c r="B636" s="40" t="s">
        <v>987</v>
      </c>
      <c r="C636" s="68">
        <v>1392</v>
      </c>
      <c r="D636" s="111">
        <v>800</v>
      </c>
      <c r="E636" s="40">
        <v>453000</v>
      </c>
      <c r="F636" s="43">
        <v>6071937</v>
      </c>
      <c r="K636" s="108">
        <v>6071937</v>
      </c>
      <c r="L636" s="66">
        <f t="shared" si="18"/>
        <v>3624000</v>
      </c>
      <c r="M636" s="153">
        <f>-PMT('Interface - Substantial impacts'!$I$42,'Interface - Substantial impacts'!$I$40,'DW Facility data'!L636)</f>
        <v>282232.01097289083</v>
      </c>
      <c r="N636" s="169">
        <f t="shared" si="19"/>
        <v>255129.60000000001</v>
      </c>
      <c r="O636" s="85">
        <v>156081</v>
      </c>
      <c r="P636" s="81">
        <v>33823</v>
      </c>
      <c r="V636" s="103" t="s">
        <v>1940</v>
      </c>
      <c r="W636" s="68">
        <v>592</v>
      </c>
    </row>
    <row r="637" spans="1:23" x14ac:dyDescent="0.25">
      <c r="A637" s="40">
        <v>1760004</v>
      </c>
      <c r="B637" s="40" t="s">
        <v>1780</v>
      </c>
      <c r="C637" s="68">
        <v>110</v>
      </c>
      <c r="D637" s="111">
        <v>66</v>
      </c>
      <c r="E637" s="40">
        <v>54000</v>
      </c>
      <c r="K637" s="108">
        <v>0</v>
      </c>
      <c r="L637" s="66">
        <f t="shared" si="18"/>
        <v>432000</v>
      </c>
      <c r="M637" s="153">
        <f>-PMT('Interface - Substantial impacts'!$I$42,'Interface - Substantial impacts'!$I$40,'DW Facility data'!L637)</f>
        <v>33643.550976900893</v>
      </c>
      <c r="N637" s="169">
        <f t="shared" si="19"/>
        <v>30412.800000000003</v>
      </c>
      <c r="O637" s="85">
        <v>30796</v>
      </c>
      <c r="P637" s="81">
        <v>9535</v>
      </c>
      <c r="V637" s="103" t="s">
        <v>1850</v>
      </c>
      <c r="W637" s="68">
        <v>489</v>
      </c>
    </row>
    <row r="638" spans="1:23" x14ac:dyDescent="0.25">
      <c r="A638" s="40">
        <v>1760005</v>
      </c>
      <c r="B638" s="40" t="s">
        <v>1846</v>
      </c>
      <c r="C638" s="68">
        <v>87</v>
      </c>
      <c r="D638" s="111">
        <v>67</v>
      </c>
      <c r="E638" s="40">
        <v>40000</v>
      </c>
      <c r="K638" s="108">
        <v>0</v>
      </c>
      <c r="L638" s="66">
        <f t="shared" si="18"/>
        <v>320000</v>
      </c>
      <c r="M638" s="153">
        <f>-PMT('Interface - Substantial impacts'!$I$42,'Interface - Substantial impacts'!$I$40,'DW Facility data'!L638)</f>
        <v>24921.148871778441</v>
      </c>
      <c r="N638" s="169">
        <f t="shared" si="19"/>
        <v>22528</v>
      </c>
      <c r="O638" s="85">
        <v>46499</v>
      </c>
      <c r="P638" s="81">
        <v>7154</v>
      </c>
      <c r="V638" s="103" t="s">
        <v>1508</v>
      </c>
      <c r="W638" s="68">
        <v>6687</v>
      </c>
    </row>
    <row r="639" spans="1:23" x14ac:dyDescent="0.25">
      <c r="A639" s="40">
        <v>1760006</v>
      </c>
      <c r="B639" s="40" t="s">
        <v>1093</v>
      </c>
      <c r="C639" s="68">
        <v>805</v>
      </c>
      <c r="D639" s="111">
        <v>353</v>
      </c>
      <c r="E639" s="40">
        <v>180000</v>
      </c>
      <c r="F639" s="43">
        <v>1950000</v>
      </c>
      <c r="K639" s="108">
        <v>1950000</v>
      </c>
      <c r="L639" s="66">
        <f t="shared" si="18"/>
        <v>1440000</v>
      </c>
      <c r="M639" s="153">
        <f>-PMT('Interface - Substantial impacts'!$I$42,'Interface - Substantial impacts'!$I$40,'DW Facility data'!L639)</f>
        <v>112145.16992300298</v>
      </c>
      <c r="N639" s="169">
        <f t="shared" si="19"/>
        <v>101376</v>
      </c>
      <c r="O639" s="85">
        <v>37343</v>
      </c>
      <c r="P639" s="81">
        <v>93515</v>
      </c>
      <c r="V639" s="103" t="s">
        <v>1600</v>
      </c>
      <c r="W639" s="68">
        <v>19394</v>
      </c>
    </row>
    <row r="640" spans="1:23" x14ac:dyDescent="0.25">
      <c r="A640" s="40">
        <v>1760007</v>
      </c>
      <c r="B640" s="40" t="s">
        <v>1596</v>
      </c>
      <c r="C640" s="68">
        <v>306</v>
      </c>
      <c r="D640" s="111">
        <v>102</v>
      </c>
      <c r="E640" s="40">
        <v>102000</v>
      </c>
      <c r="F640" s="43">
        <v>1883950</v>
      </c>
      <c r="K640" s="108">
        <v>1883950</v>
      </c>
      <c r="L640" s="66">
        <f t="shared" si="18"/>
        <v>816000</v>
      </c>
      <c r="M640" s="153">
        <f>-PMT('Interface - Substantial impacts'!$I$42,'Interface - Substantial impacts'!$I$40,'DW Facility data'!L640)</f>
        <v>63548.929623035023</v>
      </c>
      <c r="N640" s="169">
        <f t="shared" si="19"/>
        <v>57446.400000000001</v>
      </c>
      <c r="O640" s="85">
        <v>43987</v>
      </c>
      <c r="P640" s="81">
        <v>13190</v>
      </c>
      <c r="V640" s="103" t="s">
        <v>1913</v>
      </c>
      <c r="W640" s="68">
        <v>809</v>
      </c>
    </row>
    <row r="641" spans="1:23" x14ac:dyDescent="0.25">
      <c r="A641" s="40">
        <v>1760008</v>
      </c>
      <c r="B641" s="40" t="s">
        <v>1003</v>
      </c>
      <c r="C641" s="68">
        <v>3480</v>
      </c>
      <c r="D641" s="112">
        <v>1558</v>
      </c>
      <c r="E641" s="40">
        <v>1037000</v>
      </c>
      <c r="K641" s="108">
        <v>0</v>
      </c>
      <c r="L641" s="66">
        <f t="shared" si="18"/>
        <v>8296000</v>
      </c>
      <c r="M641" s="153">
        <f>-PMT('Interface - Substantial impacts'!$I$42,'Interface - Substantial impacts'!$I$40,'DW Facility data'!L641)</f>
        <v>646080.78450085607</v>
      </c>
      <c r="N641" s="169">
        <f t="shared" si="19"/>
        <v>584038.40000000002</v>
      </c>
      <c r="O641" s="85">
        <v>507292</v>
      </c>
      <c r="P641" s="81">
        <v>261098</v>
      </c>
      <c r="V641" s="103" t="s">
        <v>2006</v>
      </c>
      <c r="W641" s="68">
        <v>225</v>
      </c>
    </row>
    <row r="642" spans="1:23" x14ac:dyDescent="0.25">
      <c r="A642" s="40">
        <v>1770001</v>
      </c>
      <c r="B642" s="108" t="s">
        <v>1893</v>
      </c>
      <c r="C642" s="68">
        <v>560</v>
      </c>
      <c r="D642" s="111">
        <v>241</v>
      </c>
      <c r="E642" s="40">
        <v>148556</v>
      </c>
      <c r="K642" s="108">
        <v>0</v>
      </c>
      <c r="L642" s="66">
        <f t="shared" ref="L642:L705" si="20">E642*8</f>
        <v>1188448</v>
      </c>
      <c r="M642" s="153">
        <f>-PMT('Interface - Substantial impacts'!$I$42,'Interface - Substantial impacts'!$I$40,'DW Facility data'!L642)</f>
        <v>92554.654794897942</v>
      </c>
      <c r="N642" s="169">
        <f t="shared" si="19"/>
        <v>83666.739200000011</v>
      </c>
      <c r="O642" s="104">
        <v>104282</v>
      </c>
      <c r="P642" s="81">
        <v>77477</v>
      </c>
      <c r="V642" s="109"/>
      <c r="W642" s="69"/>
    </row>
    <row r="643" spans="1:23" x14ac:dyDescent="0.25">
      <c r="A643" s="40">
        <v>1770002</v>
      </c>
      <c r="B643" s="40" t="s">
        <v>1597</v>
      </c>
      <c r="C643" s="107">
        <v>839</v>
      </c>
      <c r="D643" s="111">
        <v>394</v>
      </c>
      <c r="E643" s="40">
        <v>250000</v>
      </c>
      <c r="K643" s="108">
        <v>0</v>
      </c>
      <c r="L643" s="66">
        <f t="shared" si="20"/>
        <v>2000000</v>
      </c>
      <c r="M643" s="153">
        <f>-PMT('Interface - Substantial impacts'!$I$42,'Interface - Substantial impacts'!$I$40,'DW Facility data'!L643)</f>
        <v>155757.18044861525</v>
      </c>
      <c r="N643" s="169">
        <f t="shared" ref="N643:N706" si="21">L643*0.0704</f>
        <v>140800</v>
      </c>
      <c r="O643" s="85">
        <v>238351</v>
      </c>
      <c r="P643" s="81">
        <v>117004</v>
      </c>
      <c r="V643" s="103" t="s">
        <v>1918</v>
      </c>
      <c r="W643" s="68">
        <v>436</v>
      </c>
    </row>
    <row r="644" spans="1:23" x14ac:dyDescent="0.25">
      <c r="A644" s="40">
        <v>1770003</v>
      </c>
      <c r="B644" s="40" t="s">
        <v>1891</v>
      </c>
      <c r="C644" s="68">
        <v>661</v>
      </c>
      <c r="D644" s="111">
        <v>306</v>
      </c>
      <c r="E644" s="40">
        <v>60000</v>
      </c>
      <c r="K644" s="108">
        <v>0</v>
      </c>
      <c r="L644" s="66">
        <f t="shared" si="20"/>
        <v>480000</v>
      </c>
      <c r="M644" s="153">
        <f>-PMT('Interface - Substantial impacts'!$I$42,'Interface - Substantial impacts'!$I$40,'DW Facility data'!L644)</f>
        <v>37381.723307667657</v>
      </c>
      <c r="N644" s="169">
        <f t="shared" si="21"/>
        <v>33792</v>
      </c>
      <c r="O644" s="85">
        <v>137008</v>
      </c>
      <c r="P644" s="81">
        <v>96379</v>
      </c>
      <c r="V644" s="103" t="s">
        <v>1727</v>
      </c>
      <c r="W644" s="68">
        <v>326</v>
      </c>
    </row>
    <row r="645" spans="1:23" x14ac:dyDescent="0.25">
      <c r="A645" s="40">
        <v>1770004</v>
      </c>
      <c r="B645" s="40" t="s">
        <v>1599</v>
      </c>
      <c r="C645" s="68">
        <v>546</v>
      </c>
      <c r="D645" s="111">
        <v>332</v>
      </c>
      <c r="E645" s="40">
        <v>105000</v>
      </c>
      <c r="K645" s="108">
        <v>0</v>
      </c>
      <c r="L645" s="66">
        <f t="shared" si="20"/>
        <v>840000</v>
      </c>
      <c r="M645" s="153">
        <f>-PMT('Interface - Substantial impacts'!$I$42,'Interface - Substantial impacts'!$I$40,'DW Facility data'!L645)</f>
        <v>65418.015788418408</v>
      </c>
      <c r="N645" s="169">
        <f t="shared" si="21"/>
        <v>59136</v>
      </c>
      <c r="O645" s="85">
        <v>91077</v>
      </c>
      <c r="P645" s="81">
        <v>18831</v>
      </c>
      <c r="V645" s="103" t="s">
        <v>1789</v>
      </c>
      <c r="W645" s="68">
        <v>651</v>
      </c>
    </row>
    <row r="646" spans="1:23" x14ac:dyDescent="0.25">
      <c r="A646" s="40">
        <v>1770005</v>
      </c>
      <c r="B646" s="40" t="s">
        <v>1559</v>
      </c>
      <c r="C646" s="68">
        <v>330</v>
      </c>
      <c r="D646" s="111">
        <v>185</v>
      </c>
      <c r="E646" s="40">
        <v>22431</v>
      </c>
      <c r="K646" s="108">
        <v>0</v>
      </c>
      <c r="L646" s="66">
        <f t="shared" si="20"/>
        <v>179448</v>
      </c>
      <c r="M646" s="153">
        <f>-PMT('Interface - Substantial impacts'!$I$42,'Interface - Substantial impacts'!$I$40,'DW Facility data'!L646)</f>
        <v>13975.157258571553</v>
      </c>
      <c r="N646" s="169">
        <f t="shared" si="21"/>
        <v>12633.139200000001</v>
      </c>
      <c r="O646" s="85">
        <v>31017</v>
      </c>
      <c r="P646" s="81">
        <v>0</v>
      </c>
      <c r="V646" s="103" t="s">
        <v>1967</v>
      </c>
      <c r="W646" s="68">
        <v>136</v>
      </c>
    </row>
    <row r="647" spans="1:23" x14ac:dyDescent="0.25">
      <c r="A647" s="40">
        <v>1770007</v>
      </c>
      <c r="B647" s="40" t="s">
        <v>1109</v>
      </c>
      <c r="C647" s="68">
        <v>3661</v>
      </c>
      <c r="D647" s="112">
        <v>1446</v>
      </c>
      <c r="E647" s="40">
        <v>1000000</v>
      </c>
      <c r="K647" s="108">
        <v>0</v>
      </c>
      <c r="L647" s="66">
        <f t="shared" si="20"/>
        <v>8000000</v>
      </c>
      <c r="M647" s="153">
        <f>-PMT('Interface - Substantial impacts'!$I$42,'Interface - Substantial impacts'!$I$40,'DW Facility data'!L647)</f>
        <v>623028.72179446102</v>
      </c>
      <c r="N647" s="169">
        <f t="shared" si="21"/>
        <v>563200</v>
      </c>
      <c r="O647" s="85">
        <v>414782</v>
      </c>
      <c r="P647" s="81">
        <v>284211</v>
      </c>
      <c r="V647" s="103" t="s">
        <v>1601</v>
      </c>
      <c r="W647" s="68">
        <v>1055</v>
      </c>
    </row>
    <row r="648" spans="1:23" x14ac:dyDescent="0.25">
      <c r="A648" s="40">
        <v>1770011</v>
      </c>
      <c r="B648" s="40" t="s">
        <v>1218</v>
      </c>
      <c r="C648" s="68">
        <v>2989</v>
      </c>
      <c r="D648" s="112">
        <v>1301</v>
      </c>
      <c r="E648" s="40">
        <v>435000</v>
      </c>
      <c r="K648" s="108">
        <v>0</v>
      </c>
      <c r="L648" s="66">
        <f t="shared" si="20"/>
        <v>3480000</v>
      </c>
      <c r="M648" s="153">
        <f>-PMT('Interface - Substantial impacts'!$I$42,'Interface - Substantial impacts'!$I$40,'DW Facility data'!L648)</f>
        <v>271017.49398059055</v>
      </c>
      <c r="N648" s="169">
        <f t="shared" si="21"/>
        <v>244992.00000000003</v>
      </c>
      <c r="O648" s="85">
        <v>494874</v>
      </c>
      <c r="P648" s="81">
        <v>155256</v>
      </c>
      <c r="V648" s="103" t="s">
        <v>1222</v>
      </c>
      <c r="W648" s="68">
        <v>8749</v>
      </c>
    </row>
    <row r="649" spans="1:23" x14ac:dyDescent="0.25">
      <c r="A649" s="40">
        <v>1770015</v>
      </c>
      <c r="B649" s="40" t="s">
        <v>1560</v>
      </c>
      <c r="C649" s="68">
        <v>251</v>
      </c>
      <c r="D649" s="111">
        <v>135</v>
      </c>
      <c r="E649" s="40">
        <v>74000</v>
      </c>
      <c r="K649" s="108">
        <v>0</v>
      </c>
      <c r="L649" s="66">
        <f t="shared" si="20"/>
        <v>592000</v>
      </c>
      <c r="M649" s="153">
        <f>-PMT('Interface - Substantial impacts'!$I$42,'Interface - Substantial impacts'!$I$40,'DW Facility data'!L649)</f>
        <v>46104.125412790112</v>
      </c>
      <c r="N649" s="169">
        <f t="shared" si="21"/>
        <v>41676.800000000003</v>
      </c>
      <c r="O649" s="85">
        <v>26896</v>
      </c>
      <c r="P649" s="81">
        <v>0</v>
      </c>
      <c r="V649" s="103" t="s">
        <v>1927</v>
      </c>
      <c r="W649" s="68">
        <v>67</v>
      </c>
    </row>
    <row r="650" spans="1:23" x14ac:dyDescent="0.25">
      <c r="A650" s="40">
        <v>1780001</v>
      </c>
      <c r="B650" s="40" t="s">
        <v>1561</v>
      </c>
      <c r="C650" s="68">
        <v>558</v>
      </c>
      <c r="D650" s="111">
        <v>313</v>
      </c>
      <c r="E650" s="40">
        <v>337000</v>
      </c>
      <c r="K650" s="108">
        <v>0</v>
      </c>
      <c r="L650" s="66">
        <f t="shared" si="20"/>
        <v>2696000</v>
      </c>
      <c r="M650" s="153">
        <f>-PMT('Interface - Substantial impacts'!$I$42,'Interface - Substantial impacts'!$I$40,'DW Facility data'!L650)</f>
        <v>209960.67924473336</v>
      </c>
      <c r="N650" s="169">
        <f t="shared" si="21"/>
        <v>189798.40000000002</v>
      </c>
      <c r="O650" s="85">
        <v>136930</v>
      </c>
      <c r="P650" s="81">
        <v>0</v>
      </c>
      <c r="V650" s="103" t="s">
        <v>1456</v>
      </c>
      <c r="W650" s="68">
        <v>1442</v>
      </c>
    </row>
    <row r="651" spans="1:23" x14ac:dyDescent="0.25">
      <c r="A651" s="40">
        <v>1780002</v>
      </c>
      <c r="B651" s="40" t="s">
        <v>1562</v>
      </c>
      <c r="C651" s="68">
        <v>75</v>
      </c>
      <c r="D651" s="111">
        <v>67</v>
      </c>
      <c r="E651" s="40">
        <v>35000</v>
      </c>
      <c r="K651" s="108">
        <v>0</v>
      </c>
      <c r="L651" s="66">
        <f t="shared" si="20"/>
        <v>280000</v>
      </c>
      <c r="M651" s="153">
        <f>-PMT('Interface - Substantial impacts'!$I$42,'Interface - Substantial impacts'!$I$40,'DW Facility data'!L651)</f>
        <v>21806.005262806135</v>
      </c>
      <c r="N651" s="169">
        <f t="shared" si="21"/>
        <v>19712</v>
      </c>
      <c r="O651" s="85">
        <v>44601</v>
      </c>
      <c r="P651" s="81">
        <v>8475</v>
      </c>
      <c r="V651" s="103" t="s">
        <v>2019</v>
      </c>
      <c r="W651" s="68">
        <v>430</v>
      </c>
    </row>
    <row r="652" spans="1:23" x14ac:dyDescent="0.25">
      <c r="A652" s="40">
        <v>1780003</v>
      </c>
      <c r="B652" s="40" t="s">
        <v>1927</v>
      </c>
      <c r="C652" s="68">
        <v>67</v>
      </c>
      <c r="D652" s="111">
        <v>31</v>
      </c>
      <c r="E652" s="40">
        <v>15000</v>
      </c>
      <c r="K652" s="108">
        <v>0</v>
      </c>
      <c r="L652" s="66">
        <f t="shared" si="20"/>
        <v>120000</v>
      </c>
      <c r="M652" s="153">
        <f>-PMT('Interface - Substantial impacts'!$I$42,'Interface - Substantial impacts'!$I$40,'DW Facility data'!L652)</f>
        <v>9345.4308269169142</v>
      </c>
      <c r="N652" s="169">
        <f t="shared" si="21"/>
        <v>8448</v>
      </c>
      <c r="O652" s="85">
        <v>15054</v>
      </c>
      <c r="P652" s="81">
        <v>0</v>
      </c>
      <c r="V652" s="103" t="s">
        <v>1654</v>
      </c>
      <c r="W652" s="68">
        <v>2076</v>
      </c>
    </row>
    <row r="653" spans="1:23" x14ac:dyDescent="0.25">
      <c r="A653" s="40">
        <v>1780004</v>
      </c>
      <c r="B653" s="40" t="s">
        <v>1563</v>
      </c>
      <c r="C653" s="68">
        <v>1460</v>
      </c>
      <c r="D653" s="111">
        <v>921</v>
      </c>
      <c r="E653" s="40">
        <v>560000</v>
      </c>
      <c r="K653" s="108">
        <v>0</v>
      </c>
      <c r="L653" s="66">
        <f t="shared" si="20"/>
        <v>4480000</v>
      </c>
      <c r="M653" s="153">
        <f>-PMT('Interface - Substantial impacts'!$I$42,'Interface - Substantial impacts'!$I$40,'DW Facility data'!L653)</f>
        <v>348896.08420489816</v>
      </c>
      <c r="N653" s="169">
        <f t="shared" si="21"/>
        <v>315392</v>
      </c>
      <c r="O653" s="85">
        <v>243617</v>
      </c>
      <c r="P653" s="81">
        <v>220559</v>
      </c>
      <c r="V653" s="103" t="s">
        <v>1224</v>
      </c>
      <c r="W653" s="68">
        <v>705</v>
      </c>
    </row>
    <row r="654" spans="1:23" x14ac:dyDescent="0.25">
      <c r="A654" s="40">
        <v>1790001</v>
      </c>
      <c r="B654" s="40" t="s">
        <v>1180</v>
      </c>
      <c r="C654" s="68">
        <v>1115</v>
      </c>
      <c r="D654" s="111">
        <v>464</v>
      </c>
      <c r="E654" s="40">
        <v>200000</v>
      </c>
      <c r="K654" s="108">
        <v>0</v>
      </c>
      <c r="L654" s="66">
        <f t="shared" si="20"/>
        <v>1600000</v>
      </c>
      <c r="M654" s="153">
        <f>-PMT('Interface - Substantial impacts'!$I$42,'Interface - Substantial impacts'!$I$40,'DW Facility data'!L654)</f>
        <v>124605.7443588922</v>
      </c>
      <c r="N654" s="169">
        <f t="shared" si="21"/>
        <v>112640</v>
      </c>
      <c r="O654" s="85">
        <v>206221</v>
      </c>
      <c r="P654" s="81">
        <v>135576</v>
      </c>
      <c r="V654" s="103" t="s">
        <v>1993</v>
      </c>
      <c r="W654" s="68">
        <v>99</v>
      </c>
    </row>
    <row r="655" spans="1:23" x14ac:dyDescent="0.25">
      <c r="A655" s="40">
        <v>1790002</v>
      </c>
      <c r="B655" s="40" t="s">
        <v>1555</v>
      </c>
      <c r="C655" s="68">
        <v>130</v>
      </c>
      <c r="D655" s="111">
        <v>61</v>
      </c>
      <c r="E655" s="40">
        <v>65000</v>
      </c>
      <c r="K655" s="108">
        <v>0</v>
      </c>
      <c r="L655" s="66">
        <f t="shared" si="20"/>
        <v>520000</v>
      </c>
      <c r="M655" s="153">
        <f>-PMT('Interface - Substantial impacts'!$I$42,'Interface - Substantial impacts'!$I$40,'DW Facility data'!L655)</f>
        <v>40496.866916639963</v>
      </c>
      <c r="N655" s="169">
        <f t="shared" si="21"/>
        <v>36608</v>
      </c>
      <c r="O655" s="85">
        <v>35441</v>
      </c>
      <c r="P655" s="81">
        <v>0</v>
      </c>
      <c r="V655" s="103" t="s">
        <v>1938</v>
      </c>
      <c r="W655" s="68">
        <v>98</v>
      </c>
    </row>
    <row r="656" spans="1:23" x14ac:dyDescent="0.25">
      <c r="A656" s="40">
        <v>1790003</v>
      </c>
      <c r="B656" s="40" t="s">
        <v>1556</v>
      </c>
      <c r="C656" s="68">
        <v>415</v>
      </c>
      <c r="D656" s="111">
        <v>188</v>
      </c>
      <c r="E656" s="40">
        <v>140000</v>
      </c>
      <c r="K656" s="108">
        <v>0</v>
      </c>
      <c r="L656" s="66">
        <f t="shared" si="20"/>
        <v>1120000</v>
      </c>
      <c r="M656" s="153">
        <f>-PMT('Interface - Substantial impacts'!$I$42,'Interface - Substantial impacts'!$I$40,'DW Facility data'!L656)</f>
        <v>87224.021051224539</v>
      </c>
      <c r="N656" s="169">
        <f t="shared" si="21"/>
        <v>78848</v>
      </c>
      <c r="O656" s="85">
        <v>83228</v>
      </c>
      <c r="P656" s="81">
        <v>0</v>
      </c>
      <c r="V656" s="103" t="s">
        <v>1226</v>
      </c>
      <c r="W656" s="68">
        <v>1092</v>
      </c>
    </row>
    <row r="657" spans="1:23" x14ac:dyDescent="0.25">
      <c r="A657" s="40">
        <v>1790004</v>
      </c>
      <c r="B657" s="40" t="s">
        <v>1557</v>
      </c>
      <c r="C657" s="68">
        <v>5252</v>
      </c>
      <c r="D657" s="112">
        <v>2593</v>
      </c>
      <c r="E657" s="40">
        <v>2000000</v>
      </c>
      <c r="K657" s="108">
        <v>0</v>
      </c>
      <c r="L657" s="66">
        <f t="shared" si="20"/>
        <v>16000000</v>
      </c>
      <c r="M657" s="153">
        <f>-PMT('Interface - Substantial impacts'!$I$42,'Interface - Substantial impacts'!$I$40,'DW Facility data'!L657)</f>
        <v>1246057.443588922</v>
      </c>
      <c r="N657" s="169">
        <f t="shared" si="21"/>
        <v>1126400</v>
      </c>
      <c r="O657" s="85">
        <v>766102</v>
      </c>
      <c r="P657" s="81">
        <v>77108</v>
      </c>
      <c r="V657" s="103" t="s">
        <v>1936</v>
      </c>
      <c r="W657" s="68">
        <v>134</v>
      </c>
    </row>
    <row r="658" spans="1:23" x14ac:dyDescent="0.25">
      <c r="A658" s="40">
        <v>1790009</v>
      </c>
      <c r="B658" s="40" t="s">
        <v>1584</v>
      </c>
      <c r="C658" s="68">
        <v>874</v>
      </c>
      <c r="D658" s="111">
        <v>445</v>
      </c>
      <c r="E658" s="40">
        <v>100000</v>
      </c>
      <c r="K658" s="108">
        <v>0</v>
      </c>
      <c r="L658" s="66">
        <f t="shared" si="20"/>
        <v>800000</v>
      </c>
      <c r="M658" s="153">
        <f>-PMT('Interface - Substantial impacts'!$I$42,'Interface - Substantial impacts'!$I$40,'DW Facility data'!L658)</f>
        <v>62302.872179446102</v>
      </c>
      <c r="N658" s="169">
        <f t="shared" si="21"/>
        <v>56320</v>
      </c>
      <c r="O658" s="85">
        <v>64439</v>
      </c>
      <c r="P658" s="81">
        <v>0</v>
      </c>
      <c r="V658" s="103" t="s">
        <v>1495</v>
      </c>
      <c r="W658" s="68">
        <v>723</v>
      </c>
    </row>
    <row r="659" spans="1:23" x14ac:dyDescent="0.25">
      <c r="A659" s="40">
        <v>1790010</v>
      </c>
      <c r="B659" s="40" t="s">
        <v>1572</v>
      </c>
      <c r="C659" s="68">
        <v>151</v>
      </c>
      <c r="D659" s="111">
        <v>95</v>
      </c>
      <c r="E659" s="40">
        <v>25000</v>
      </c>
      <c r="K659" s="108">
        <v>0</v>
      </c>
      <c r="L659" s="66">
        <f t="shared" si="20"/>
        <v>200000</v>
      </c>
      <c r="M659" s="153">
        <f>-PMT('Interface - Substantial impacts'!$I$42,'Interface - Substantial impacts'!$I$40,'DW Facility data'!L659)</f>
        <v>15575.718044861525</v>
      </c>
      <c r="N659" s="169">
        <f t="shared" si="21"/>
        <v>14080</v>
      </c>
      <c r="O659" s="85">
        <v>16349</v>
      </c>
      <c r="P659" s="81">
        <v>0</v>
      </c>
      <c r="V659" s="103" t="s">
        <v>1794</v>
      </c>
      <c r="W659" s="68">
        <v>3633</v>
      </c>
    </row>
    <row r="660" spans="1:23" x14ac:dyDescent="0.25">
      <c r="A660" s="40">
        <v>1790012</v>
      </c>
      <c r="B660" s="40" t="s">
        <v>1178</v>
      </c>
      <c r="C660" s="68">
        <v>3483</v>
      </c>
      <c r="D660" s="112">
        <v>1427</v>
      </c>
      <c r="E660" s="40">
        <v>1054000</v>
      </c>
      <c r="K660" s="108">
        <v>0</v>
      </c>
      <c r="L660" s="66">
        <f t="shared" si="20"/>
        <v>8432000</v>
      </c>
      <c r="M660" s="153">
        <f>-PMT('Interface - Substantial impacts'!$I$42,'Interface - Substantial impacts'!$I$40,'DW Facility data'!L660)</f>
        <v>656672.27277136187</v>
      </c>
      <c r="N660" s="169">
        <f t="shared" si="21"/>
        <v>593612.80000000005</v>
      </c>
      <c r="O660" s="85">
        <v>262222</v>
      </c>
      <c r="P660" s="81">
        <v>82964</v>
      </c>
      <c r="V660" s="103" t="s">
        <v>1945</v>
      </c>
      <c r="W660" s="68">
        <v>1138</v>
      </c>
    </row>
    <row r="661" spans="1:23" x14ac:dyDescent="0.25">
      <c r="A661" s="40">
        <v>1790013</v>
      </c>
      <c r="B661" s="40" t="s">
        <v>1573</v>
      </c>
      <c r="C661" s="68">
        <v>2559</v>
      </c>
      <c r="D661" s="112">
        <v>1409</v>
      </c>
      <c r="E661" s="40">
        <v>600000</v>
      </c>
      <c r="K661" s="108">
        <v>0</v>
      </c>
      <c r="L661" s="66">
        <f t="shared" si="20"/>
        <v>4800000</v>
      </c>
      <c r="M661" s="153">
        <f>-PMT('Interface - Substantial impacts'!$I$42,'Interface - Substantial impacts'!$I$40,'DW Facility data'!L661)</f>
        <v>373817.23307667655</v>
      </c>
      <c r="N661" s="169">
        <f t="shared" si="21"/>
        <v>337920</v>
      </c>
      <c r="O661" s="85">
        <v>184617</v>
      </c>
      <c r="P661" s="81">
        <v>107257</v>
      </c>
      <c r="V661" s="103" t="s">
        <v>1889</v>
      </c>
      <c r="W661" s="68">
        <v>476</v>
      </c>
    </row>
    <row r="662" spans="1:23" x14ac:dyDescent="0.25">
      <c r="A662" s="40">
        <v>1790015</v>
      </c>
      <c r="B662" s="40" t="s">
        <v>1678</v>
      </c>
      <c r="C662" s="68">
        <v>155</v>
      </c>
      <c r="D662" s="111">
        <v>116</v>
      </c>
      <c r="E662" s="40">
        <v>50000</v>
      </c>
      <c r="K662" s="108">
        <v>0</v>
      </c>
      <c r="L662" s="66">
        <f t="shared" si="20"/>
        <v>400000</v>
      </c>
      <c r="M662" s="153">
        <f>-PMT('Interface - Substantial impacts'!$I$42,'Interface - Substantial impacts'!$I$40,'DW Facility data'!L662)</f>
        <v>31151.436089723051</v>
      </c>
      <c r="N662" s="169">
        <f t="shared" si="21"/>
        <v>28160</v>
      </c>
      <c r="O662" s="85">
        <v>78117</v>
      </c>
      <c r="P662" s="81">
        <v>57007</v>
      </c>
      <c r="V662" s="103" t="s">
        <v>1702</v>
      </c>
      <c r="W662" s="68">
        <v>356</v>
      </c>
    </row>
    <row r="663" spans="1:23" x14ac:dyDescent="0.25">
      <c r="A663" s="40">
        <v>1800001</v>
      </c>
      <c r="B663" s="40" t="s">
        <v>1564</v>
      </c>
      <c r="C663" s="68">
        <v>1340</v>
      </c>
      <c r="D663" s="111">
        <v>575</v>
      </c>
      <c r="E663" s="40">
        <v>212827</v>
      </c>
      <c r="K663" s="108">
        <v>0</v>
      </c>
      <c r="L663" s="66">
        <f t="shared" si="20"/>
        <v>1702616</v>
      </c>
      <c r="M663" s="153">
        <f>-PMT('Interface - Substantial impacts'!$I$42,'Interface - Substantial impacts'!$I$40,'DW Facility data'!L663)</f>
        <v>132597.33377334976</v>
      </c>
      <c r="N663" s="169">
        <f t="shared" si="21"/>
        <v>119864.1664</v>
      </c>
      <c r="O663" s="85">
        <v>391737</v>
      </c>
      <c r="P663" s="81">
        <v>16600</v>
      </c>
      <c r="V663" s="103" t="s">
        <v>1686</v>
      </c>
      <c r="W663" s="68">
        <v>487</v>
      </c>
    </row>
    <row r="664" spans="1:23" x14ac:dyDescent="0.25">
      <c r="A664" s="40">
        <v>1800002</v>
      </c>
      <c r="B664" s="40" t="s">
        <v>1565</v>
      </c>
      <c r="C664" s="68">
        <v>741</v>
      </c>
      <c r="D664" s="111">
        <v>399</v>
      </c>
      <c r="E664" s="40">
        <v>262500</v>
      </c>
      <c r="F664" s="43">
        <v>1750000</v>
      </c>
      <c r="K664" s="108">
        <v>1750000</v>
      </c>
      <c r="L664" s="66">
        <f t="shared" si="20"/>
        <v>2100000</v>
      </c>
      <c r="M664" s="153">
        <f>-PMT('Interface - Substantial impacts'!$I$42,'Interface - Substantial impacts'!$I$40,'DW Facility data'!L664)</f>
        <v>163545.03947104601</v>
      </c>
      <c r="N664" s="169">
        <f t="shared" si="21"/>
        <v>147840</v>
      </c>
      <c r="O664" s="85">
        <v>109703</v>
      </c>
      <c r="P664" s="81">
        <v>66916</v>
      </c>
      <c r="V664" s="103" t="s">
        <v>1517</v>
      </c>
      <c r="W664" s="68">
        <v>266</v>
      </c>
    </row>
    <row r="665" spans="1:23" x14ac:dyDescent="0.25">
      <c r="A665" s="40">
        <v>1800003</v>
      </c>
      <c r="B665" s="40" t="s">
        <v>1934</v>
      </c>
      <c r="C665" s="68">
        <v>511</v>
      </c>
      <c r="D665" s="111">
        <v>261</v>
      </c>
      <c r="E665" s="40">
        <v>93000</v>
      </c>
      <c r="K665" s="108">
        <v>0</v>
      </c>
      <c r="L665" s="66">
        <f t="shared" si="20"/>
        <v>744000</v>
      </c>
      <c r="M665" s="153">
        <f>-PMT('Interface - Substantial impacts'!$I$42,'Interface - Substantial impacts'!$I$40,'DW Facility data'!L665)</f>
        <v>57941.671126884874</v>
      </c>
      <c r="N665" s="169">
        <f t="shared" si="21"/>
        <v>52377.600000000006</v>
      </c>
      <c r="O665" s="85">
        <v>208624</v>
      </c>
      <c r="P665" s="81">
        <v>66710</v>
      </c>
      <c r="V665" s="103" t="s">
        <v>1520</v>
      </c>
      <c r="W665" s="68">
        <v>12912</v>
      </c>
    </row>
    <row r="666" spans="1:23" x14ac:dyDescent="0.25">
      <c r="A666" s="40">
        <v>1800004</v>
      </c>
      <c r="B666" s="108" t="s">
        <v>1232</v>
      </c>
      <c r="C666" s="68">
        <v>4325</v>
      </c>
      <c r="D666" s="112">
        <v>2115</v>
      </c>
      <c r="E666" s="40">
        <v>911000</v>
      </c>
      <c r="K666" s="108">
        <v>0</v>
      </c>
      <c r="L666" s="66">
        <f t="shared" si="20"/>
        <v>7288000</v>
      </c>
      <c r="M666" s="153">
        <f>-PMT('Interface - Substantial impacts'!$I$42,'Interface - Substantial impacts'!$I$40,'DW Facility data'!L666)</f>
        <v>567579.16555475397</v>
      </c>
      <c r="N666" s="169">
        <f t="shared" si="21"/>
        <v>513075.20000000001</v>
      </c>
      <c r="O666" s="104">
        <v>646369</v>
      </c>
      <c r="P666" s="81">
        <v>507269</v>
      </c>
      <c r="V666" s="109"/>
      <c r="W666" s="69"/>
    </row>
    <row r="667" spans="1:23" x14ac:dyDescent="0.25">
      <c r="A667" s="40">
        <v>1810001</v>
      </c>
      <c r="B667" s="40" t="s">
        <v>1569</v>
      </c>
      <c r="C667" s="68">
        <v>2421</v>
      </c>
      <c r="D667" s="112">
        <v>1041</v>
      </c>
      <c r="E667" s="40">
        <v>602000</v>
      </c>
      <c r="K667" s="108">
        <v>0</v>
      </c>
      <c r="L667" s="66">
        <f t="shared" si="20"/>
        <v>4816000</v>
      </c>
      <c r="M667" s="153">
        <f>-PMT('Interface - Substantial impacts'!$I$42,'Interface - Substantial impacts'!$I$40,'DW Facility data'!L667)</f>
        <v>375063.29052026547</v>
      </c>
      <c r="N667" s="169">
        <f t="shared" si="21"/>
        <v>339046.40000000002</v>
      </c>
      <c r="O667" s="85">
        <v>296608</v>
      </c>
      <c r="P667" s="81">
        <v>117617</v>
      </c>
      <c r="V667" s="103" t="s">
        <v>1620</v>
      </c>
      <c r="W667" s="68">
        <v>348</v>
      </c>
    </row>
    <row r="668" spans="1:23" x14ac:dyDescent="0.25">
      <c r="A668" s="40">
        <v>1810002</v>
      </c>
      <c r="B668" s="40" t="s">
        <v>1153</v>
      </c>
      <c r="C668" s="68">
        <v>1229</v>
      </c>
      <c r="D668" s="111">
        <v>488</v>
      </c>
      <c r="E668" s="40">
        <v>176000</v>
      </c>
      <c r="K668" s="108">
        <v>0</v>
      </c>
      <c r="L668" s="66">
        <f t="shared" si="20"/>
        <v>1408000</v>
      </c>
      <c r="M668" s="153">
        <f>-PMT('Interface - Substantial impacts'!$I$42,'Interface - Substantial impacts'!$I$40,'DW Facility data'!L668)</f>
        <v>109653.05503582513</v>
      </c>
      <c r="N668" s="169">
        <f t="shared" si="21"/>
        <v>99123.200000000012</v>
      </c>
      <c r="O668" s="85">
        <v>184147</v>
      </c>
      <c r="P668" s="81">
        <v>153641</v>
      </c>
      <c r="V668" s="103" t="s">
        <v>1691</v>
      </c>
      <c r="W668" s="68">
        <v>441</v>
      </c>
    </row>
    <row r="669" spans="1:23" x14ac:dyDescent="0.25">
      <c r="A669" s="40">
        <v>1810003</v>
      </c>
      <c r="B669" s="40" t="s">
        <v>1234</v>
      </c>
      <c r="C669" s="68">
        <v>201</v>
      </c>
      <c r="D669" s="111">
        <v>92</v>
      </c>
      <c r="E669" s="40">
        <v>52000</v>
      </c>
      <c r="F669" s="43">
        <v>409182</v>
      </c>
      <c r="K669" s="108">
        <v>409182</v>
      </c>
      <c r="L669" s="66">
        <f t="shared" si="20"/>
        <v>416000</v>
      </c>
      <c r="M669" s="153">
        <f>-PMT('Interface - Substantial impacts'!$I$42,'Interface - Substantial impacts'!$I$40,'DW Facility data'!L669)</f>
        <v>32397.493533311968</v>
      </c>
      <c r="N669" s="169">
        <f t="shared" si="21"/>
        <v>29286.400000000001</v>
      </c>
      <c r="O669" s="85">
        <v>20410</v>
      </c>
      <c r="P669" s="81">
        <v>0</v>
      </c>
      <c r="V669" s="103" t="s">
        <v>1934</v>
      </c>
      <c r="W669" s="68">
        <v>511</v>
      </c>
    </row>
    <row r="670" spans="1:23" x14ac:dyDescent="0.25">
      <c r="A670" s="40">
        <v>1810004</v>
      </c>
      <c r="B670" s="40" t="s">
        <v>1238</v>
      </c>
      <c r="C670" s="68">
        <v>9229</v>
      </c>
      <c r="D670" s="112">
        <v>3637</v>
      </c>
      <c r="E670" s="40">
        <v>2698000</v>
      </c>
      <c r="K670" s="108">
        <v>0</v>
      </c>
      <c r="L670" s="66">
        <f t="shared" si="20"/>
        <v>21584000</v>
      </c>
      <c r="M670" s="153">
        <f>-PMT('Interface - Substantial impacts'!$I$42,'Interface - Substantial impacts'!$I$40,'DW Facility data'!L670)</f>
        <v>1680931.4914014556</v>
      </c>
      <c r="N670" s="169">
        <f t="shared" si="21"/>
        <v>1519513.6000000001</v>
      </c>
      <c r="O670" s="85">
        <v>1306442</v>
      </c>
      <c r="P670" s="81">
        <v>185732</v>
      </c>
      <c r="V670" s="103" t="s">
        <v>1482</v>
      </c>
      <c r="W670" s="68">
        <v>328</v>
      </c>
    </row>
    <row r="671" spans="1:23" x14ac:dyDescent="0.25">
      <c r="A671" s="40">
        <v>1820001</v>
      </c>
      <c r="B671" s="40" t="s">
        <v>1521</v>
      </c>
      <c r="C671" s="68">
        <v>4024</v>
      </c>
      <c r="D671" s="111">
        <v>976</v>
      </c>
      <c r="E671" s="40">
        <v>789000</v>
      </c>
      <c r="K671" s="108">
        <v>0</v>
      </c>
      <c r="L671" s="66">
        <f t="shared" si="20"/>
        <v>6312000</v>
      </c>
      <c r="M671" s="153">
        <f>-PMT('Interface - Substantial impacts'!$I$42,'Interface - Substantial impacts'!$I$40,'DW Facility data'!L671)</f>
        <v>491569.6614958297</v>
      </c>
      <c r="N671" s="169">
        <f t="shared" si="21"/>
        <v>444364.80000000005</v>
      </c>
      <c r="O671" s="85">
        <v>441313</v>
      </c>
      <c r="P671" s="81">
        <v>22482</v>
      </c>
      <c r="V671" s="103" t="s">
        <v>2004</v>
      </c>
      <c r="W671" s="68">
        <v>276</v>
      </c>
    </row>
    <row r="672" spans="1:23" x14ac:dyDescent="0.25">
      <c r="A672" s="40">
        <v>1820003</v>
      </c>
      <c r="B672" s="17" t="s">
        <v>1953</v>
      </c>
      <c r="C672" s="68">
        <v>863</v>
      </c>
      <c r="D672" s="111">
        <v>437</v>
      </c>
      <c r="E672" s="40">
        <v>109400</v>
      </c>
      <c r="K672" s="108">
        <v>0</v>
      </c>
      <c r="L672" s="66">
        <f t="shared" si="20"/>
        <v>875200</v>
      </c>
      <c r="M672" s="153">
        <f>-PMT('Interface - Substantial impacts'!$I$42,'Interface - Substantial impacts'!$I$40,'DW Facility data'!L672)</f>
        <v>68159.342164314032</v>
      </c>
      <c r="N672" s="169">
        <f t="shared" si="21"/>
        <v>61614.080000000002</v>
      </c>
      <c r="O672" s="106">
        <v>120243</v>
      </c>
      <c r="P672" s="74">
        <v>0</v>
      </c>
      <c r="V672" s="103" t="s">
        <v>1841</v>
      </c>
      <c r="W672" s="68">
        <v>10546</v>
      </c>
    </row>
    <row r="673" spans="1:23" x14ac:dyDescent="0.25">
      <c r="A673" s="40">
        <v>1820004</v>
      </c>
      <c r="B673" s="40" t="s">
        <v>1603</v>
      </c>
      <c r="C673" s="68">
        <v>38839</v>
      </c>
      <c r="D673" s="112">
        <v>12661</v>
      </c>
      <c r="E673" s="40">
        <v>8303032</v>
      </c>
      <c r="K673" s="108">
        <v>0</v>
      </c>
      <c r="L673" s="66">
        <f t="shared" si="20"/>
        <v>66424256</v>
      </c>
      <c r="M673" s="153">
        <f>-PMT('Interface - Substantial impacts'!$I$42,'Interface - Substantial impacts'!$I$40,'DW Facility data'!L673)</f>
        <v>5173027.4139785068</v>
      </c>
      <c r="N673" s="169">
        <f t="shared" si="21"/>
        <v>4676267.6224000007</v>
      </c>
      <c r="O673" s="85">
        <v>2994192</v>
      </c>
      <c r="P673" s="81">
        <v>0</v>
      </c>
      <c r="V673" s="103" t="s">
        <v>2022</v>
      </c>
      <c r="W673" s="68">
        <v>79</v>
      </c>
    </row>
    <row r="674" spans="1:23" x14ac:dyDescent="0.25">
      <c r="A674" s="40">
        <v>1820005</v>
      </c>
      <c r="B674" s="40" t="s">
        <v>1685</v>
      </c>
      <c r="C674" s="68">
        <v>20611</v>
      </c>
      <c r="D674" s="112">
        <v>8421</v>
      </c>
      <c r="E674" s="40">
        <v>2358000</v>
      </c>
      <c r="K674" s="108">
        <v>0</v>
      </c>
      <c r="L674" s="66">
        <f t="shared" si="20"/>
        <v>18864000</v>
      </c>
      <c r="M674" s="153">
        <f>-PMT('Interface - Substantial impacts'!$I$42,'Interface - Substantial impacts'!$I$40,'DW Facility data'!L674)</f>
        <v>1469101.725991339</v>
      </c>
      <c r="N674" s="169">
        <f t="shared" si="21"/>
        <v>1328025.6000000001</v>
      </c>
      <c r="O674" s="85">
        <v>1681224</v>
      </c>
      <c r="P674" s="81">
        <v>1108835</v>
      </c>
      <c r="V674" s="103" t="s">
        <v>1228</v>
      </c>
      <c r="W674" s="68">
        <v>8421</v>
      </c>
    </row>
    <row r="675" spans="1:23" x14ac:dyDescent="0.25">
      <c r="A675" s="40">
        <v>1820007</v>
      </c>
      <c r="B675" s="40" t="s">
        <v>1522</v>
      </c>
      <c r="C675" s="68">
        <v>15766</v>
      </c>
      <c r="D675" s="112">
        <v>5757</v>
      </c>
      <c r="E675" s="40">
        <v>2734000</v>
      </c>
      <c r="K675" s="108">
        <v>0</v>
      </c>
      <c r="L675" s="66">
        <f t="shared" si="20"/>
        <v>21872000</v>
      </c>
      <c r="M675" s="153">
        <f>-PMT('Interface - Substantial impacts'!$I$42,'Interface - Substantial impacts'!$I$40,'DW Facility data'!L675)</f>
        <v>1703360.5253860562</v>
      </c>
      <c r="N675" s="169">
        <f t="shared" si="21"/>
        <v>1539788.8</v>
      </c>
      <c r="O675" s="85">
        <v>3398225</v>
      </c>
      <c r="P675" s="81">
        <v>0</v>
      </c>
      <c r="V675" s="103" t="s">
        <v>1573</v>
      </c>
      <c r="W675" s="68">
        <v>2559</v>
      </c>
    </row>
    <row r="676" spans="1:23" x14ac:dyDescent="0.25">
      <c r="A676" s="40">
        <v>1820009</v>
      </c>
      <c r="B676" s="40" t="s">
        <v>1635</v>
      </c>
      <c r="C676" s="68">
        <v>11335</v>
      </c>
      <c r="D676" s="112">
        <v>3268</v>
      </c>
      <c r="E676" s="40">
        <v>3243000</v>
      </c>
      <c r="K676" s="108">
        <v>0</v>
      </c>
      <c r="L676" s="66">
        <f t="shared" si="20"/>
        <v>25944000</v>
      </c>
      <c r="M676" s="153">
        <f>-PMT('Interface - Substantial impacts'!$I$42,'Interface - Substantial impacts'!$I$40,'DW Facility data'!L676)</f>
        <v>2020482.144779437</v>
      </c>
      <c r="N676" s="169">
        <f t="shared" si="21"/>
        <v>1826457.6000000001</v>
      </c>
      <c r="O676" s="85">
        <v>2138417</v>
      </c>
      <c r="P676" s="81">
        <v>1014835</v>
      </c>
      <c r="V676" s="103" t="s">
        <v>1230</v>
      </c>
      <c r="W676" s="68">
        <v>739</v>
      </c>
    </row>
    <row r="677" spans="1:23" x14ac:dyDescent="0.25">
      <c r="A677" s="40">
        <v>1820013</v>
      </c>
      <c r="B677" s="40" t="s">
        <v>1523</v>
      </c>
      <c r="C677" s="68">
        <v>8138</v>
      </c>
      <c r="D677" s="112">
        <v>3151</v>
      </c>
      <c r="E677" s="40">
        <v>1439000</v>
      </c>
      <c r="K677" s="108">
        <v>0</v>
      </c>
      <c r="L677" s="66">
        <f t="shared" si="20"/>
        <v>11512000</v>
      </c>
      <c r="M677" s="153">
        <f>-PMT('Interface - Substantial impacts'!$I$42,'Interface - Substantial impacts'!$I$40,'DW Facility data'!L677)</f>
        <v>896538.33066222933</v>
      </c>
      <c r="N677" s="169">
        <f t="shared" si="21"/>
        <v>810444.80000000005</v>
      </c>
      <c r="O677" s="85">
        <v>1170855</v>
      </c>
      <c r="P677" s="81">
        <v>236037</v>
      </c>
      <c r="V677" s="103" t="s">
        <v>1623</v>
      </c>
      <c r="W677" s="68">
        <v>13033</v>
      </c>
    </row>
    <row r="678" spans="1:23" x14ac:dyDescent="0.25">
      <c r="A678" s="40">
        <v>1820014</v>
      </c>
      <c r="B678" s="109" t="s">
        <v>1604</v>
      </c>
      <c r="C678" s="68">
        <v>3797</v>
      </c>
      <c r="D678" s="113"/>
      <c r="E678" s="40">
        <v>431000</v>
      </c>
      <c r="K678" s="108">
        <v>0</v>
      </c>
      <c r="L678" s="66">
        <f t="shared" si="20"/>
        <v>3448000</v>
      </c>
      <c r="M678" s="153">
        <f>-PMT('Interface - Substantial impacts'!$I$42,'Interface - Substantial impacts'!$I$40,'DW Facility data'!L678)</f>
        <v>268525.37909341266</v>
      </c>
      <c r="N678" s="169">
        <f t="shared" si="21"/>
        <v>242739.20000000001</v>
      </c>
      <c r="O678" s="85">
        <v>385322</v>
      </c>
      <c r="P678" s="81">
        <v>110366</v>
      </c>
      <c r="V678" s="103" t="s">
        <v>1232</v>
      </c>
      <c r="W678" s="68">
        <v>4325</v>
      </c>
    </row>
    <row r="679" spans="1:23" x14ac:dyDescent="0.25">
      <c r="A679" s="40">
        <v>1820016</v>
      </c>
      <c r="B679" s="40" t="s">
        <v>1524</v>
      </c>
      <c r="C679" s="68">
        <v>28303</v>
      </c>
      <c r="D679" s="112">
        <v>11530</v>
      </c>
      <c r="E679" s="40">
        <v>3856000</v>
      </c>
      <c r="K679" s="108">
        <v>0</v>
      </c>
      <c r="L679" s="66">
        <f t="shared" si="20"/>
        <v>30848000</v>
      </c>
      <c r="M679" s="153">
        <f>-PMT('Interface - Substantial impacts'!$I$42,'Interface - Substantial impacts'!$I$40,'DW Facility data'!L679)</f>
        <v>2402398.7512394413</v>
      </c>
      <c r="N679" s="169">
        <f t="shared" si="21"/>
        <v>2171699.2000000002</v>
      </c>
      <c r="O679" s="85">
        <v>2865846</v>
      </c>
      <c r="P679" s="81">
        <v>0</v>
      </c>
      <c r="V679" s="103" t="s">
        <v>1558</v>
      </c>
      <c r="W679" s="68">
        <v>8341</v>
      </c>
    </row>
    <row r="680" spans="1:23" x14ac:dyDescent="0.25">
      <c r="A680" s="40">
        <v>1820018</v>
      </c>
      <c r="B680" s="40" t="s">
        <v>1525</v>
      </c>
      <c r="C680" s="68">
        <v>5544</v>
      </c>
      <c r="D680" s="112">
        <v>2220</v>
      </c>
      <c r="E680" s="40">
        <v>1414000</v>
      </c>
      <c r="K680" s="108">
        <v>0</v>
      </c>
      <c r="L680" s="66">
        <f t="shared" si="20"/>
        <v>11312000</v>
      </c>
      <c r="M680" s="153">
        <f>-PMT('Interface - Substantial impacts'!$I$42,'Interface - Substantial impacts'!$I$40,'DW Facility data'!L680)</f>
        <v>880962.61261736788</v>
      </c>
      <c r="N680" s="169">
        <f t="shared" si="21"/>
        <v>796364.80000000005</v>
      </c>
      <c r="O680" s="85">
        <v>961252</v>
      </c>
      <c r="P680" s="81">
        <v>57594</v>
      </c>
      <c r="V680" s="103" t="s">
        <v>1234</v>
      </c>
      <c r="W680" s="68">
        <v>201</v>
      </c>
    </row>
    <row r="681" spans="1:23" x14ac:dyDescent="0.25">
      <c r="A681" s="40">
        <v>1820020</v>
      </c>
      <c r="B681" s="40" t="s">
        <v>1605</v>
      </c>
      <c r="C681" s="68">
        <v>4849</v>
      </c>
      <c r="D681" s="112">
        <v>2373</v>
      </c>
      <c r="E681" s="40">
        <v>1011000</v>
      </c>
      <c r="K681" s="108">
        <v>0</v>
      </c>
      <c r="L681" s="66">
        <f t="shared" si="20"/>
        <v>8088000</v>
      </c>
      <c r="M681" s="153">
        <f>-PMT('Interface - Substantial impacts'!$I$42,'Interface - Substantial impacts'!$I$40,'DW Facility data'!L681)</f>
        <v>629882.03773420001</v>
      </c>
      <c r="N681" s="169">
        <f t="shared" si="21"/>
        <v>569395.20000000007</v>
      </c>
      <c r="O681" s="85">
        <v>598726</v>
      </c>
      <c r="P681" s="81">
        <v>0</v>
      </c>
      <c r="V681" s="103" t="s">
        <v>1759</v>
      </c>
      <c r="W681" s="68">
        <v>966</v>
      </c>
    </row>
    <row r="682" spans="1:23" x14ac:dyDescent="0.25">
      <c r="A682" s="40">
        <v>1820022</v>
      </c>
      <c r="B682" s="40" t="s">
        <v>2017</v>
      </c>
      <c r="C682" s="68">
        <v>515</v>
      </c>
      <c r="D682" s="111">
        <v>224</v>
      </c>
      <c r="E682" s="40">
        <v>124200</v>
      </c>
      <c r="K682" s="108">
        <v>0</v>
      </c>
      <c r="L682" s="66">
        <f t="shared" si="20"/>
        <v>993600</v>
      </c>
      <c r="M682" s="153">
        <f>-PMT('Interface - Substantial impacts'!$I$42,'Interface - Substantial impacts'!$I$40,'DW Facility data'!L682)</f>
        <v>77380.16724687205</v>
      </c>
      <c r="N682" s="169">
        <f t="shared" si="21"/>
        <v>69949.440000000002</v>
      </c>
      <c r="O682" s="85">
        <v>113620</v>
      </c>
      <c r="P682" s="81">
        <v>100000</v>
      </c>
      <c r="V682" s="103" t="s">
        <v>1236</v>
      </c>
      <c r="W682" s="68">
        <v>751</v>
      </c>
    </row>
    <row r="683" spans="1:23" x14ac:dyDescent="0.25">
      <c r="A683" s="40">
        <v>1820024</v>
      </c>
      <c r="B683" s="40" t="s">
        <v>1600</v>
      </c>
      <c r="C683" s="68">
        <v>19394</v>
      </c>
      <c r="D683" s="112">
        <v>8085</v>
      </c>
      <c r="E683" s="40">
        <v>4972000</v>
      </c>
      <c r="K683" s="108">
        <v>0</v>
      </c>
      <c r="L683" s="66">
        <f t="shared" si="20"/>
        <v>39776000</v>
      </c>
      <c r="M683" s="153">
        <f>-PMT('Interface - Substantial impacts'!$I$42,'Interface - Substantial impacts'!$I$40,'DW Facility data'!L683)</f>
        <v>3097698.8047620598</v>
      </c>
      <c r="N683" s="169">
        <f t="shared" si="21"/>
        <v>2800230.4000000004</v>
      </c>
      <c r="O683" s="85">
        <v>1759985</v>
      </c>
      <c r="P683" s="81">
        <v>116141</v>
      </c>
      <c r="V683" s="103" t="s">
        <v>2012</v>
      </c>
      <c r="W683" s="68">
        <v>69</v>
      </c>
    </row>
    <row r="684" spans="1:23" x14ac:dyDescent="0.25">
      <c r="A684" s="40">
        <v>1820025</v>
      </c>
      <c r="B684" s="40" t="s">
        <v>1606</v>
      </c>
      <c r="C684" s="68">
        <v>75102</v>
      </c>
      <c r="D684" s="112">
        <v>26576</v>
      </c>
      <c r="E684" s="40">
        <v>21259964</v>
      </c>
      <c r="K684" s="108">
        <v>0</v>
      </c>
      <c r="L684" s="66">
        <f t="shared" si="20"/>
        <v>170079712</v>
      </c>
      <c r="M684" s="153">
        <f>-PMT('Interface - Substantial impacts'!$I$42,'Interface - Substantial impacts'!$I$40,'DW Facility data'!L684)</f>
        <v>13245568.196316257</v>
      </c>
      <c r="N684" s="169">
        <f t="shared" si="21"/>
        <v>11973611.7248</v>
      </c>
      <c r="O684" s="85">
        <v>5814606</v>
      </c>
      <c r="P684" s="81">
        <v>0</v>
      </c>
      <c r="V684" s="103" t="s">
        <v>1921</v>
      </c>
      <c r="W684" s="68">
        <v>164</v>
      </c>
    </row>
    <row r="685" spans="1:23" x14ac:dyDescent="0.25">
      <c r="A685" s="40">
        <v>1820029</v>
      </c>
      <c r="B685" s="109" t="s">
        <v>1476</v>
      </c>
      <c r="C685" s="69"/>
      <c r="D685" s="111">
        <v>806</v>
      </c>
      <c r="E685" s="40">
        <v>697000</v>
      </c>
      <c r="K685" s="108">
        <v>0</v>
      </c>
      <c r="L685" s="66">
        <f t="shared" si="20"/>
        <v>5576000</v>
      </c>
      <c r="M685" s="153">
        <f>-PMT('Interface - Substantial impacts'!$I$42,'Interface - Substantial impacts'!$I$40,'DW Facility data'!L685)</f>
        <v>434251.01909073931</v>
      </c>
      <c r="N685" s="169">
        <f t="shared" si="21"/>
        <v>392550.40000000002</v>
      </c>
      <c r="O685" s="85">
        <v>234094</v>
      </c>
      <c r="P685" s="81">
        <v>96138</v>
      </c>
      <c r="V685" s="103" t="s">
        <v>1693</v>
      </c>
      <c r="W685" s="68">
        <v>1113</v>
      </c>
    </row>
    <row r="686" spans="1:23" x14ac:dyDescent="0.25">
      <c r="A686" s="40">
        <v>1830001</v>
      </c>
      <c r="B686" s="40" t="s">
        <v>2020</v>
      </c>
      <c r="C686" s="68">
        <v>601</v>
      </c>
      <c r="D686" s="111">
        <v>258</v>
      </c>
      <c r="E686" s="40">
        <v>90000</v>
      </c>
      <c r="K686" s="108">
        <v>0</v>
      </c>
      <c r="L686" s="66">
        <f t="shared" si="20"/>
        <v>720000</v>
      </c>
      <c r="M686" s="153">
        <f>-PMT('Interface - Substantial impacts'!$I$42,'Interface - Substantial impacts'!$I$40,'DW Facility data'!L686)</f>
        <v>56072.584961501489</v>
      </c>
      <c r="N686" s="169">
        <f t="shared" si="21"/>
        <v>50688</v>
      </c>
      <c r="O686" s="85">
        <v>166763</v>
      </c>
      <c r="P686" s="81">
        <v>127442</v>
      </c>
      <c r="V686" s="103" t="s">
        <v>1655</v>
      </c>
      <c r="W686" s="68">
        <v>72</v>
      </c>
    </row>
    <row r="687" spans="1:23" x14ac:dyDescent="0.25">
      <c r="A687" s="40">
        <v>1830002</v>
      </c>
      <c r="B687" s="40" t="s">
        <v>2011</v>
      </c>
      <c r="C687" s="68">
        <v>84</v>
      </c>
      <c r="D687" s="111">
        <v>61</v>
      </c>
      <c r="E687" s="40">
        <v>8000</v>
      </c>
      <c r="K687" s="108">
        <v>0</v>
      </c>
      <c r="L687" s="66">
        <f t="shared" si="20"/>
        <v>64000</v>
      </c>
      <c r="M687" s="153">
        <f>-PMT('Interface - Substantial impacts'!$I$42,'Interface - Substantial impacts'!$I$40,'DW Facility data'!L687)</f>
        <v>4984.2297743556874</v>
      </c>
      <c r="N687" s="169">
        <f t="shared" si="21"/>
        <v>4505.6000000000004</v>
      </c>
      <c r="O687" s="85">
        <v>40160</v>
      </c>
      <c r="P687" s="81">
        <v>0</v>
      </c>
      <c r="V687" s="103" t="s">
        <v>1790</v>
      </c>
      <c r="W687" s="68">
        <v>168</v>
      </c>
    </row>
    <row r="688" spans="1:23" x14ac:dyDescent="0.25">
      <c r="A688" s="40">
        <v>1830003</v>
      </c>
      <c r="B688" s="40" t="s">
        <v>1987</v>
      </c>
      <c r="C688" s="68">
        <v>204</v>
      </c>
      <c r="D688" s="111">
        <v>132</v>
      </c>
      <c r="E688" s="40">
        <v>24000</v>
      </c>
      <c r="K688" s="108">
        <v>0</v>
      </c>
      <c r="L688" s="66">
        <f t="shared" si="20"/>
        <v>192000</v>
      </c>
      <c r="M688" s="153">
        <f>-PMT('Interface - Substantial impacts'!$I$42,'Interface - Substantial impacts'!$I$40,'DW Facility data'!L688)</f>
        <v>14952.689323067063</v>
      </c>
      <c r="N688" s="169">
        <f t="shared" si="21"/>
        <v>13516.800000000001</v>
      </c>
      <c r="O688" s="85">
        <v>83080</v>
      </c>
      <c r="P688" s="81">
        <v>13004</v>
      </c>
      <c r="V688" s="103" t="s">
        <v>1709</v>
      </c>
      <c r="W688" s="68">
        <v>1605</v>
      </c>
    </row>
    <row r="689" spans="1:23" x14ac:dyDescent="0.25">
      <c r="A689" s="40">
        <v>1830004</v>
      </c>
      <c r="B689" s="40" t="s">
        <v>1119</v>
      </c>
      <c r="C689" s="68">
        <v>2396</v>
      </c>
      <c r="D689" s="112">
        <v>1062</v>
      </c>
      <c r="E689" s="40">
        <v>1136000</v>
      </c>
      <c r="K689" s="108">
        <v>0</v>
      </c>
      <c r="L689" s="66">
        <f t="shared" si="20"/>
        <v>9088000</v>
      </c>
      <c r="M689" s="153">
        <f>-PMT('Interface - Substantial impacts'!$I$42,'Interface - Substantial impacts'!$I$40,'DW Facility data'!L689)</f>
        <v>707760.62795850763</v>
      </c>
      <c r="N689" s="169">
        <f t="shared" si="21"/>
        <v>639795.20000000007</v>
      </c>
      <c r="O689" s="85">
        <v>453992</v>
      </c>
      <c r="P689" s="81">
        <v>61966</v>
      </c>
      <c r="V689" s="103" t="s">
        <v>1611</v>
      </c>
      <c r="W689" s="68">
        <v>1830</v>
      </c>
    </row>
    <row r="690" spans="1:23" x14ac:dyDescent="0.25">
      <c r="A690" s="40">
        <v>1830005</v>
      </c>
      <c r="B690" s="40" t="s">
        <v>2014</v>
      </c>
      <c r="C690" s="68">
        <v>118</v>
      </c>
      <c r="D690" s="111">
        <v>71</v>
      </c>
      <c r="E690" s="40">
        <v>20000</v>
      </c>
      <c r="K690" s="108">
        <v>0</v>
      </c>
      <c r="L690" s="66">
        <f t="shared" si="20"/>
        <v>160000</v>
      </c>
      <c r="M690" s="153">
        <f>-PMT('Interface - Substantial impacts'!$I$42,'Interface - Substantial impacts'!$I$40,'DW Facility data'!L690)</f>
        <v>12460.574435889221</v>
      </c>
      <c r="N690" s="169">
        <f t="shared" si="21"/>
        <v>11264</v>
      </c>
      <c r="O690" s="85">
        <v>34291</v>
      </c>
      <c r="P690" s="81">
        <v>12413</v>
      </c>
      <c r="V690" s="103" t="s">
        <v>1238</v>
      </c>
      <c r="W690" s="68">
        <v>9229</v>
      </c>
    </row>
    <row r="691" spans="1:23" x14ac:dyDescent="0.25">
      <c r="A691" s="40">
        <v>1830006</v>
      </c>
      <c r="B691" s="40" t="s">
        <v>1202</v>
      </c>
      <c r="C691" s="68">
        <v>4793</v>
      </c>
      <c r="D691" s="112">
        <v>2028</v>
      </c>
      <c r="E691" s="40">
        <v>1314000</v>
      </c>
      <c r="K691" s="108">
        <v>0</v>
      </c>
      <c r="L691" s="66">
        <f t="shared" si="20"/>
        <v>10512000</v>
      </c>
      <c r="M691" s="153">
        <f>-PMT('Interface - Substantial impacts'!$I$42,'Interface - Substantial impacts'!$I$40,'DW Facility data'!L691)</f>
        <v>818659.74043792172</v>
      </c>
      <c r="N691" s="169">
        <f t="shared" si="21"/>
        <v>740044.80000000005</v>
      </c>
      <c r="O691" s="85">
        <v>1012075</v>
      </c>
      <c r="P691" s="81">
        <v>432042</v>
      </c>
      <c r="V691" s="103" t="s">
        <v>1240</v>
      </c>
      <c r="W691" s="68">
        <v>4659</v>
      </c>
    </row>
    <row r="692" spans="1:23" x14ac:dyDescent="0.25">
      <c r="A692" s="40">
        <v>1830008</v>
      </c>
      <c r="B692" s="40" t="s">
        <v>1986</v>
      </c>
      <c r="C692" s="68">
        <v>123</v>
      </c>
      <c r="D692" s="111">
        <v>71</v>
      </c>
      <c r="E692" s="40">
        <v>10000</v>
      </c>
      <c r="K692" s="108">
        <v>0</v>
      </c>
      <c r="L692" s="66">
        <f t="shared" si="20"/>
        <v>80000</v>
      </c>
      <c r="M692" s="153">
        <f>-PMT('Interface - Substantial impacts'!$I$42,'Interface - Substantial impacts'!$I$40,'DW Facility data'!L692)</f>
        <v>6230.2872179446103</v>
      </c>
      <c r="N692" s="169">
        <f t="shared" si="21"/>
        <v>5632</v>
      </c>
      <c r="O692" s="85">
        <v>29405</v>
      </c>
      <c r="P692" s="81">
        <v>5826</v>
      </c>
      <c r="V692" s="103" t="s">
        <v>1242</v>
      </c>
      <c r="W692" s="68">
        <v>1750</v>
      </c>
    </row>
    <row r="693" spans="1:23" x14ac:dyDescent="0.25">
      <c r="A693" s="40">
        <v>1830009</v>
      </c>
      <c r="B693" s="40" t="s">
        <v>1570</v>
      </c>
      <c r="C693" s="68">
        <v>79</v>
      </c>
      <c r="D693" s="111">
        <v>36</v>
      </c>
      <c r="E693" s="40">
        <v>50000</v>
      </c>
      <c r="K693" s="108">
        <v>0</v>
      </c>
      <c r="L693" s="66">
        <f t="shared" si="20"/>
        <v>400000</v>
      </c>
      <c r="M693" s="153">
        <f>-PMT('Interface - Substantial impacts'!$I$42,'Interface - Substantial impacts'!$I$40,'DW Facility data'!L693)</f>
        <v>31151.436089723051</v>
      </c>
      <c r="N693" s="169">
        <f t="shared" si="21"/>
        <v>28160</v>
      </c>
      <c r="O693" s="85">
        <v>28728</v>
      </c>
      <c r="P693" s="81">
        <v>4260</v>
      </c>
      <c r="V693" s="103" t="s">
        <v>1939</v>
      </c>
      <c r="W693" s="68">
        <v>991</v>
      </c>
    </row>
    <row r="694" spans="1:23" x14ac:dyDescent="0.25">
      <c r="A694" s="40">
        <v>1840002</v>
      </c>
      <c r="B694" s="40" t="s">
        <v>1929</v>
      </c>
      <c r="C694" s="68">
        <v>3430</v>
      </c>
      <c r="D694" s="112">
        <v>1702</v>
      </c>
      <c r="E694" s="40">
        <v>1200000</v>
      </c>
      <c r="K694" s="108">
        <v>0</v>
      </c>
      <c r="L694" s="66">
        <f t="shared" si="20"/>
        <v>9600000</v>
      </c>
      <c r="M694" s="153">
        <f>-PMT('Interface - Substantial impacts'!$I$42,'Interface - Substantial impacts'!$I$40,'DW Facility data'!L694)</f>
        <v>747634.4661533531</v>
      </c>
      <c r="N694" s="169">
        <f t="shared" si="21"/>
        <v>675840</v>
      </c>
      <c r="O694" s="85">
        <v>1080965</v>
      </c>
      <c r="P694" s="81">
        <v>156222</v>
      </c>
      <c r="V694" s="103" t="s">
        <v>1875</v>
      </c>
      <c r="W694" s="68">
        <v>182</v>
      </c>
    </row>
    <row r="695" spans="1:23" x14ac:dyDescent="0.25">
      <c r="A695" s="40">
        <v>1840003</v>
      </c>
      <c r="B695" s="40" t="s">
        <v>1998</v>
      </c>
      <c r="C695" s="68">
        <v>164</v>
      </c>
      <c r="D695" s="111">
        <v>94</v>
      </c>
      <c r="E695" s="40">
        <v>100000</v>
      </c>
      <c r="K695" s="108">
        <v>0</v>
      </c>
      <c r="L695" s="66">
        <f t="shared" si="20"/>
        <v>800000</v>
      </c>
      <c r="M695" s="153">
        <f>-PMT('Interface - Substantial impacts'!$I$42,'Interface - Substantial impacts'!$I$40,'DW Facility data'!L695)</f>
        <v>62302.872179446102</v>
      </c>
      <c r="N695" s="169">
        <f t="shared" si="21"/>
        <v>56320</v>
      </c>
      <c r="O695" s="85">
        <v>28321</v>
      </c>
      <c r="P695" s="81">
        <v>0</v>
      </c>
      <c r="V695" s="103" t="s">
        <v>1766</v>
      </c>
      <c r="W695" s="68">
        <v>409</v>
      </c>
    </row>
    <row r="696" spans="1:23" x14ac:dyDescent="0.25">
      <c r="A696" s="40">
        <v>1840004</v>
      </c>
      <c r="B696" s="40" t="s">
        <v>2024</v>
      </c>
      <c r="C696" s="68">
        <v>65</v>
      </c>
      <c r="D696" s="111">
        <v>22</v>
      </c>
      <c r="E696" s="40">
        <v>14000</v>
      </c>
      <c r="K696" s="108">
        <v>0</v>
      </c>
      <c r="L696" s="66">
        <f t="shared" si="20"/>
        <v>112000</v>
      </c>
      <c r="M696" s="153">
        <f>-PMT('Interface - Substantial impacts'!$I$42,'Interface - Substantial impacts'!$I$40,'DW Facility data'!L696)</f>
        <v>8722.4021051224536</v>
      </c>
      <c r="N696" s="169">
        <f t="shared" si="21"/>
        <v>7884.8</v>
      </c>
      <c r="O696" s="85">
        <v>8604</v>
      </c>
      <c r="P696" s="81">
        <v>0</v>
      </c>
      <c r="V696" s="103" t="s">
        <v>1729</v>
      </c>
      <c r="W696" s="68">
        <v>1900</v>
      </c>
    </row>
    <row r="697" spans="1:23" x14ac:dyDescent="0.25">
      <c r="A697" s="40">
        <v>1840006</v>
      </c>
      <c r="B697" s="40" t="s">
        <v>1566</v>
      </c>
      <c r="C697" s="68">
        <v>498</v>
      </c>
      <c r="D697" s="111">
        <v>258</v>
      </c>
      <c r="E697" s="40">
        <v>100000</v>
      </c>
      <c r="K697" s="108">
        <v>0</v>
      </c>
      <c r="L697" s="66">
        <f t="shared" si="20"/>
        <v>800000</v>
      </c>
      <c r="M697" s="153">
        <f>-PMT('Interface - Substantial impacts'!$I$42,'Interface - Substantial impacts'!$I$40,'DW Facility data'!L697)</f>
        <v>62302.872179446102</v>
      </c>
      <c r="N697" s="169">
        <f t="shared" si="21"/>
        <v>56320</v>
      </c>
      <c r="O697" s="85">
        <v>69290</v>
      </c>
      <c r="P697" s="81">
        <v>47701</v>
      </c>
      <c r="V697" s="103" t="s">
        <v>1622</v>
      </c>
      <c r="W697" s="68">
        <v>4434</v>
      </c>
    </row>
    <row r="698" spans="1:23" x14ac:dyDescent="0.25">
      <c r="A698" s="40">
        <v>1840007</v>
      </c>
      <c r="B698" s="40" t="s">
        <v>1861</v>
      </c>
      <c r="C698" s="68">
        <v>128</v>
      </c>
      <c r="D698" s="111">
        <v>78</v>
      </c>
      <c r="E698" s="40">
        <v>30000</v>
      </c>
      <c r="K698" s="108">
        <v>0</v>
      </c>
      <c r="L698" s="66">
        <f t="shared" si="20"/>
        <v>240000</v>
      </c>
      <c r="M698" s="153">
        <f>-PMT('Interface - Substantial impacts'!$I$42,'Interface - Substantial impacts'!$I$40,'DW Facility data'!L698)</f>
        <v>18690.861653833828</v>
      </c>
      <c r="N698" s="169">
        <f t="shared" si="21"/>
        <v>16896</v>
      </c>
      <c r="O698" s="85">
        <v>29274</v>
      </c>
      <c r="P698" s="81">
        <v>0</v>
      </c>
      <c r="V698" s="103" t="s">
        <v>1244</v>
      </c>
      <c r="W698" s="68">
        <v>710</v>
      </c>
    </row>
    <row r="699" spans="1:23" x14ac:dyDescent="0.25">
      <c r="A699" s="40">
        <v>1850003</v>
      </c>
      <c r="B699" s="40" t="s">
        <v>1509</v>
      </c>
      <c r="C699" s="68">
        <v>129</v>
      </c>
      <c r="D699" s="111">
        <v>45</v>
      </c>
      <c r="E699" s="40">
        <v>30000</v>
      </c>
      <c r="K699" s="108">
        <v>0</v>
      </c>
      <c r="L699" s="66">
        <f t="shared" si="20"/>
        <v>240000</v>
      </c>
      <c r="M699" s="153">
        <f>-PMT('Interface - Substantial impacts'!$I$42,'Interface - Substantial impacts'!$I$40,'DW Facility data'!L699)</f>
        <v>18690.861653833828</v>
      </c>
      <c r="N699" s="169">
        <f t="shared" si="21"/>
        <v>16896</v>
      </c>
      <c r="O699" s="85">
        <v>17856</v>
      </c>
      <c r="P699" s="81">
        <v>0</v>
      </c>
      <c r="V699" s="103" t="s">
        <v>1247</v>
      </c>
      <c r="W699" s="68">
        <v>2410</v>
      </c>
    </row>
    <row r="700" spans="1:23" x14ac:dyDescent="0.25">
      <c r="A700" s="40">
        <v>1850006</v>
      </c>
      <c r="B700" s="40" t="s">
        <v>1103</v>
      </c>
      <c r="C700" s="68">
        <v>1533</v>
      </c>
      <c r="D700" s="111">
        <v>677</v>
      </c>
      <c r="E700" s="40">
        <v>185000</v>
      </c>
      <c r="K700" s="108">
        <v>0</v>
      </c>
      <c r="L700" s="66">
        <f t="shared" si="20"/>
        <v>1480000</v>
      </c>
      <c r="M700" s="153">
        <f>-PMT('Interface - Substantial impacts'!$I$42,'Interface - Substantial impacts'!$I$40,'DW Facility data'!L700)</f>
        <v>115260.31353197529</v>
      </c>
      <c r="N700" s="169">
        <f t="shared" si="21"/>
        <v>104192</v>
      </c>
      <c r="O700" s="85">
        <v>191425</v>
      </c>
      <c r="P700" s="81">
        <v>73123</v>
      </c>
      <c r="V700" s="103" t="s">
        <v>1898</v>
      </c>
      <c r="W700" s="68">
        <v>166</v>
      </c>
    </row>
    <row r="701" spans="1:23" x14ac:dyDescent="0.25">
      <c r="A701" s="40">
        <v>1850008</v>
      </c>
      <c r="B701" s="40" t="s">
        <v>1516</v>
      </c>
      <c r="C701" s="68">
        <v>678</v>
      </c>
      <c r="D701" s="111">
        <v>246</v>
      </c>
      <c r="E701" s="40">
        <v>100000</v>
      </c>
      <c r="K701" s="108">
        <v>0</v>
      </c>
      <c r="L701" s="66">
        <f t="shared" si="20"/>
        <v>800000</v>
      </c>
      <c r="M701" s="153">
        <f>-PMT('Interface - Substantial impacts'!$I$42,'Interface - Substantial impacts'!$I$40,'DW Facility data'!L701)</f>
        <v>62302.872179446102</v>
      </c>
      <c r="N701" s="169">
        <f t="shared" si="21"/>
        <v>56320</v>
      </c>
      <c r="O701" s="85">
        <v>74720</v>
      </c>
      <c r="P701" s="81">
        <v>76224</v>
      </c>
      <c r="V701" s="103" t="s">
        <v>1252</v>
      </c>
      <c r="W701" s="68">
        <v>861</v>
      </c>
    </row>
    <row r="702" spans="1:23" x14ac:dyDescent="0.25">
      <c r="A702" s="40">
        <v>1850009</v>
      </c>
      <c r="B702" s="108" t="s">
        <v>1510</v>
      </c>
      <c r="C702" s="68">
        <v>3990</v>
      </c>
      <c r="D702" s="112">
        <v>1564</v>
      </c>
      <c r="E702" s="40">
        <v>350000</v>
      </c>
      <c r="K702" s="108">
        <v>0</v>
      </c>
      <c r="L702" s="66">
        <f t="shared" si="20"/>
        <v>2800000</v>
      </c>
      <c r="M702" s="153">
        <f>-PMT('Interface - Substantial impacts'!$I$42,'Interface - Substantial impacts'!$I$40,'DW Facility data'!L702)</f>
        <v>218060.05262806136</v>
      </c>
      <c r="N702" s="169">
        <f t="shared" si="21"/>
        <v>197120</v>
      </c>
      <c r="O702" s="85">
        <v>504652</v>
      </c>
      <c r="P702" s="81">
        <v>16569</v>
      </c>
      <c r="V702" s="103" t="s">
        <v>1656</v>
      </c>
      <c r="W702" s="68">
        <v>758</v>
      </c>
    </row>
    <row r="703" spans="1:23" x14ac:dyDescent="0.25">
      <c r="A703" s="40">
        <v>1850011</v>
      </c>
      <c r="B703" s="40" t="s">
        <v>1517</v>
      </c>
      <c r="C703" s="68">
        <v>266</v>
      </c>
      <c r="D703" s="111">
        <v>87</v>
      </c>
      <c r="E703" s="40">
        <v>45000</v>
      </c>
      <c r="K703" s="108">
        <v>0</v>
      </c>
      <c r="L703" s="66">
        <f t="shared" si="20"/>
        <v>360000</v>
      </c>
      <c r="M703" s="153">
        <f>-PMT('Interface - Substantial impacts'!$I$42,'Interface - Substantial impacts'!$I$40,'DW Facility data'!L703)</f>
        <v>28036.292480750744</v>
      </c>
      <c r="N703" s="169">
        <f t="shared" si="21"/>
        <v>25344</v>
      </c>
      <c r="O703" s="85">
        <v>36999</v>
      </c>
      <c r="P703" s="81">
        <v>10435</v>
      </c>
      <c r="V703" s="103" t="s">
        <v>1563</v>
      </c>
      <c r="W703" s="68">
        <v>1460</v>
      </c>
    </row>
    <row r="704" spans="1:23" x14ac:dyDescent="0.25">
      <c r="A704" s="40">
        <v>1850013</v>
      </c>
      <c r="B704" s="40" t="s">
        <v>1779</v>
      </c>
      <c r="C704" s="68">
        <v>25948</v>
      </c>
      <c r="D704" s="112">
        <v>11502</v>
      </c>
      <c r="E704" s="40">
        <v>4200000</v>
      </c>
      <c r="K704" s="108">
        <v>0</v>
      </c>
      <c r="L704" s="66">
        <f t="shared" si="20"/>
        <v>33600000</v>
      </c>
      <c r="M704" s="153">
        <f>-PMT('Interface - Substantial impacts'!$I$42,'Interface - Substantial impacts'!$I$40,'DW Facility data'!L704)</f>
        <v>2616720.6315367362</v>
      </c>
      <c r="N704" s="169">
        <f t="shared" si="21"/>
        <v>2365440</v>
      </c>
      <c r="O704" s="85">
        <v>2793485</v>
      </c>
      <c r="P704" s="81">
        <v>0</v>
      </c>
      <c r="V704" s="103" t="s">
        <v>1474</v>
      </c>
      <c r="W704" s="68">
        <v>24883</v>
      </c>
    </row>
    <row r="705" spans="1:23" x14ac:dyDescent="0.25">
      <c r="A705" s="40">
        <v>1850018</v>
      </c>
      <c r="B705" s="108" t="s">
        <v>981</v>
      </c>
      <c r="C705" s="68">
        <v>471</v>
      </c>
      <c r="D705" s="111">
        <v>180</v>
      </c>
      <c r="E705" s="40">
        <v>100000</v>
      </c>
      <c r="K705" s="108">
        <v>0</v>
      </c>
      <c r="L705" s="66">
        <f t="shared" si="20"/>
        <v>800000</v>
      </c>
      <c r="M705" s="153">
        <f>-PMT('Interface - Substantial impacts'!$I$42,'Interface - Substantial impacts'!$I$40,'DW Facility data'!L705)</f>
        <v>62302.872179446102</v>
      </c>
      <c r="N705" s="169">
        <f t="shared" si="21"/>
        <v>56320</v>
      </c>
      <c r="O705" s="104">
        <v>46030</v>
      </c>
      <c r="P705" s="81">
        <v>0</v>
      </c>
      <c r="V705" s="109"/>
      <c r="W705" s="69"/>
    </row>
    <row r="706" spans="1:23" x14ac:dyDescent="0.25">
      <c r="A706" s="40">
        <v>1850020</v>
      </c>
      <c r="B706" s="108" t="s">
        <v>1913</v>
      </c>
      <c r="C706" s="68">
        <v>809</v>
      </c>
      <c r="D706" s="111">
        <v>333</v>
      </c>
      <c r="E706" s="40">
        <v>55000</v>
      </c>
      <c r="K706" s="108">
        <v>0</v>
      </c>
      <c r="L706" s="66">
        <f t="shared" ref="L706:L729" si="22">E706*8</f>
        <v>440000</v>
      </c>
      <c r="M706" s="153">
        <f>-PMT('Interface - Substantial impacts'!$I$42,'Interface - Substantial impacts'!$I$40,'DW Facility data'!L706)</f>
        <v>34266.579698695357</v>
      </c>
      <c r="N706" s="169">
        <f t="shared" si="21"/>
        <v>30976.000000000004</v>
      </c>
      <c r="O706" s="104">
        <v>147529</v>
      </c>
      <c r="P706" s="81">
        <v>37000</v>
      </c>
      <c r="V706" s="109"/>
      <c r="W706" s="69"/>
    </row>
    <row r="707" spans="1:23" x14ac:dyDescent="0.25">
      <c r="A707" s="40">
        <v>1860002</v>
      </c>
      <c r="B707" s="40" t="s">
        <v>1884</v>
      </c>
      <c r="C707" s="68">
        <v>3330</v>
      </c>
      <c r="D707" s="112">
        <v>1548</v>
      </c>
      <c r="K707" s="108">
        <v>0</v>
      </c>
      <c r="L707" s="66">
        <f t="shared" si="22"/>
        <v>0</v>
      </c>
      <c r="M707" s="153">
        <f>-PMT('Interface - Substantial impacts'!$I$42,'Interface - Substantial impacts'!$I$40,'DW Facility data'!L707)</f>
        <v>0</v>
      </c>
      <c r="N707" s="169">
        <f t="shared" ref="N707:N729" si="23">L707*0.0704</f>
        <v>0</v>
      </c>
      <c r="O707" s="85">
        <v>465215</v>
      </c>
      <c r="P707" s="81">
        <v>266228</v>
      </c>
      <c r="V707" s="103" t="s">
        <v>2030</v>
      </c>
      <c r="W707" s="68">
        <v>62</v>
      </c>
    </row>
    <row r="708" spans="1:23" x14ac:dyDescent="0.25">
      <c r="A708" s="40">
        <v>1860005</v>
      </c>
      <c r="B708" s="40" t="s">
        <v>1013</v>
      </c>
      <c r="C708" s="68">
        <v>16168</v>
      </c>
      <c r="D708" s="112">
        <v>6682</v>
      </c>
      <c r="E708" s="40">
        <v>3687000</v>
      </c>
      <c r="K708" s="108">
        <v>0</v>
      </c>
      <c r="L708" s="66">
        <f t="shared" si="22"/>
        <v>29496000</v>
      </c>
      <c r="M708" s="153">
        <f>-PMT('Interface - Substantial impacts'!$I$42,'Interface - Substantial impacts'!$I$40,'DW Facility data'!L708)</f>
        <v>2297106.8972561774</v>
      </c>
      <c r="N708" s="169">
        <f t="shared" si="23"/>
        <v>2076518.4000000001</v>
      </c>
      <c r="O708" s="85">
        <v>5957783</v>
      </c>
      <c r="P708" s="81">
        <v>5153994</v>
      </c>
      <c r="V708" s="103" t="s">
        <v>2017</v>
      </c>
      <c r="W708" s="68">
        <v>515</v>
      </c>
    </row>
    <row r="709" spans="1:23" x14ac:dyDescent="0.25">
      <c r="A709" s="40">
        <v>1860006</v>
      </c>
      <c r="B709" s="40" t="s">
        <v>1836</v>
      </c>
      <c r="C709" s="68">
        <v>2799</v>
      </c>
      <c r="D709" s="112">
        <v>1024</v>
      </c>
      <c r="E709" s="40">
        <v>611000</v>
      </c>
      <c r="K709" s="108">
        <v>0</v>
      </c>
      <c r="L709" s="66">
        <f t="shared" si="22"/>
        <v>4888000</v>
      </c>
      <c r="M709" s="153">
        <f>-PMT('Interface - Substantial impacts'!$I$42,'Interface - Substantial impacts'!$I$40,'DW Facility data'!L709)</f>
        <v>380670.54901641567</v>
      </c>
      <c r="N709" s="169">
        <f t="shared" si="23"/>
        <v>344115.20000000001</v>
      </c>
      <c r="O709" s="85">
        <v>525168</v>
      </c>
      <c r="P709" s="81">
        <v>299628</v>
      </c>
      <c r="V709" s="103" t="s">
        <v>1254</v>
      </c>
      <c r="W709" s="68">
        <v>21015</v>
      </c>
    </row>
    <row r="710" spans="1:23" x14ac:dyDescent="0.25">
      <c r="A710" s="40">
        <v>1860007</v>
      </c>
      <c r="B710" s="40" t="s">
        <v>1839</v>
      </c>
      <c r="C710" s="68">
        <v>6484</v>
      </c>
      <c r="D710" s="112">
        <v>2283</v>
      </c>
      <c r="E710" s="40">
        <v>1552000</v>
      </c>
      <c r="K710" s="108">
        <v>0</v>
      </c>
      <c r="L710" s="66">
        <f t="shared" si="22"/>
        <v>12416000</v>
      </c>
      <c r="M710" s="153">
        <f>-PMT('Interface - Substantial impacts'!$I$42,'Interface - Substantial impacts'!$I$40,'DW Facility data'!L710)</f>
        <v>966940.57622500346</v>
      </c>
      <c r="N710" s="169">
        <f t="shared" si="23"/>
        <v>874086.40000000002</v>
      </c>
      <c r="O710" s="85">
        <v>1028567</v>
      </c>
      <c r="P710" s="81">
        <v>933319</v>
      </c>
      <c r="V710" s="103" t="s">
        <v>1682</v>
      </c>
      <c r="W710" s="68">
        <v>384</v>
      </c>
    </row>
    <row r="711" spans="1:23" x14ac:dyDescent="0.25">
      <c r="A711" s="40">
        <v>1860010</v>
      </c>
      <c r="B711" s="40" t="s">
        <v>1658</v>
      </c>
      <c r="C711" s="68">
        <v>2071</v>
      </c>
      <c r="D711" s="111">
        <v>889</v>
      </c>
      <c r="E711" s="40">
        <v>370000</v>
      </c>
      <c r="K711" s="108">
        <v>0</v>
      </c>
      <c r="L711" s="66">
        <f t="shared" si="22"/>
        <v>2960000</v>
      </c>
      <c r="M711" s="153">
        <f>-PMT('Interface - Substantial impacts'!$I$42,'Interface - Substantial impacts'!$I$40,'DW Facility data'!L711)</f>
        <v>230520.62706395058</v>
      </c>
      <c r="N711" s="169">
        <f t="shared" si="23"/>
        <v>208384</v>
      </c>
      <c r="O711" s="85">
        <v>362040</v>
      </c>
      <c r="P711" s="87">
        <v>344337</v>
      </c>
      <c r="V711" s="103" t="s">
        <v>2031</v>
      </c>
      <c r="W711" s="68">
        <v>332</v>
      </c>
    </row>
    <row r="712" spans="1:23" x14ac:dyDescent="0.25">
      <c r="A712" s="40">
        <v>1860011</v>
      </c>
      <c r="B712" s="40" t="s">
        <v>1659</v>
      </c>
      <c r="C712" s="68">
        <v>2159</v>
      </c>
      <c r="D712" s="111">
        <v>871</v>
      </c>
      <c r="E712" s="40">
        <v>345000</v>
      </c>
      <c r="K712" s="108">
        <v>0</v>
      </c>
      <c r="L712" s="66">
        <f t="shared" si="22"/>
        <v>2760000</v>
      </c>
      <c r="M712" s="153">
        <f>-PMT('Interface - Substantial impacts'!$I$42,'Interface - Substantial impacts'!$I$40,'DW Facility data'!L712)</f>
        <v>214944.90901908904</v>
      </c>
      <c r="N712" s="169">
        <f t="shared" si="23"/>
        <v>194304</v>
      </c>
      <c r="O712" s="85">
        <v>512730</v>
      </c>
      <c r="P712" s="81">
        <v>136001</v>
      </c>
      <c r="V712" s="103" t="s">
        <v>1256</v>
      </c>
      <c r="W712" s="68">
        <v>4798</v>
      </c>
    </row>
    <row r="713" spans="1:23" x14ac:dyDescent="0.25">
      <c r="A713" s="40">
        <v>1860012</v>
      </c>
      <c r="B713" s="40" t="s">
        <v>1608</v>
      </c>
      <c r="C713" s="68">
        <v>14455</v>
      </c>
      <c r="D713" s="112">
        <v>5104</v>
      </c>
      <c r="E713" s="40">
        <v>4000000</v>
      </c>
      <c r="K713" s="108">
        <v>0</v>
      </c>
      <c r="L713" s="66">
        <f t="shared" si="22"/>
        <v>32000000</v>
      </c>
      <c r="M713" s="153">
        <f>-PMT('Interface - Substantial impacts'!$I$42,'Interface - Substantial impacts'!$I$40,'DW Facility data'!L713)</f>
        <v>2492114.8871778441</v>
      </c>
      <c r="N713" s="169">
        <f t="shared" si="23"/>
        <v>2252800</v>
      </c>
      <c r="O713" s="85">
        <v>1207678</v>
      </c>
      <c r="P713" s="81">
        <v>0</v>
      </c>
      <c r="V713" s="103" t="s">
        <v>1932</v>
      </c>
      <c r="W713" s="68">
        <v>174</v>
      </c>
    </row>
    <row r="714" spans="1:23" x14ac:dyDescent="0.25">
      <c r="A714" s="40">
        <v>1860016</v>
      </c>
      <c r="B714" s="40" t="s">
        <v>1856</v>
      </c>
      <c r="C714" s="68">
        <v>3775</v>
      </c>
      <c r="D714" s="112">
        <v>1317</v>
      </c>
      <c r="E714" s="40">
        <v>649000</v>
      </c>
      <c r="F714" s="43">
        <v>7000000</v>
      </c>
      <c r="K714" s="108">
        <v>7000000</v>
      </c>
      <c r="L714" s="66">
        <f t="shared" si="22"/>
        <v>5192000</v>
      </c>
      <c r="M714" s="153">
        <f>-PMT('Interface - Substantial impacts'!$I$42,'Interface - Substantial impacts'!$I$40,'DW Facility data'!L714)</f>
        <v>404345.64044460515</v>
      </c>
      <c r="N714" s="169">
        <f t="shared" si="23"/>
        <v>365516.80000000005</v>
      </c>
      <c r="O714" s="85">
        <v>321415</v>
      </c>
      <c r="P714" s="81">
        <v>186056</v>
      </c>
      <c r="V714" s="103" t="s">
        <v>1258</v>
      </c>
      <c r="W714" s="68">
        <v>1391</v>
      </c>
    </row>
    <row r="715" spans="1:23" x14ac:dyDescent="0.25">
      <c r="A715" s="40">
        <v>1860018</v>
      </c>
      <c r="B715" s="40" t="s">
        <v>1842</v>
      </c>
      <c r="C715" s="68">
        <v>4500</v>
      </c>
      <c r="D715" s="112">
        <v>1640</v>
      </c>
      <c r="E715" s="40">
        <v>700000</v>
      </c>
      <c r="K715" s="108">
        <v>0</v>
      </c>
      <c r="L715" s="66">
        <f t="shared" si="22"/>
        <v>5600000</v>
      </c>
      <c r="M715" s="153">
        <f>-PMT('Interface - Substantial impacts'!$I$42,'Interface - Substantial impacts'!$I$40,'DW Facility data'!L715)</f>
        <v>436120.10525612271</v>
      </c>
      <c r="N715" s="169">
        <f t="shared" si="23"/>
        <v>394240</v>
      </c>
      <c r="O715" s="85">
        <v>604857</v>
      </c>
      <c r="P715" s="81">
        <v>165576</v>
      </c>
      <c r="V715" s="103" t="s">
        <v>1779</v>
      </c>
      <c r="W715" s="68">
        <v>25948</v>
      </c>
    </row>
    <row r="716" spans="1:23" x14ac:dyDescent="0.25">
      <c r="A716" s="40">
        <v>1860019</v>
      </c>
      <c r="B716" s="40" t="s">
        <v>1729</v>
      </c>
      <c r="C716" s="68">
        <v>1900</v>
      </c>
      <c r="D716" s="111">
        <v>599</v>
      </c>
      <c r="E716" s="40">
        <v>138000</v>
      </c>
      <c r="K716" s="108">
        <v>0</v>
      </c>
      <c r="L716" s="66">
        <f t="shared" si="22"/>
        <v>1104000</v>
      </c>
      <c r="M716" s="153">
        <f>-PMT('Interface - Substantial impacts'!$I$42,'Interface - Substantial impacts'!$I$40,'DW Facility data'!L716)</f>
        <v>85977.963607635611</v>
      </c>
      <c r="N716" s="169">
        <f t="shared" si="23"/>
        <v>77721.600000000006</v>
      </c>
      <c r="O716" s="85">
        <v>211957</v>
      </c>
      <c r="P716" s="81">
        <v>373089</v>
      </c>
      <c r="V716" s="103" t="s">
        <v>1781</v>
      </c>
      <c r="W716" s="68">
        <v>2240</v>
      </c>
    </row>
    <row r="717" spans="1:23" x14ac:dyDescent="0.25">
      <c r="A717" s="40">
        <v>1860021</v>
      </c>
      <c r="B717" s="17" t="s">
        <v>1730</v>
      </c>
      <c r="C717" s="68">
        <v>185</v>
      </c>
      <c r="D717" s="111">
        <v>73</v>
      </c>
      <c r="E717" s="40">
        <v>39800</v>
      </c>
      <c r="K717" s="108">
        <v>0</v>
      </c>
      <c r="L717" s="66">
        <f t="shared" si="22"/>
        <v>318400</v>
      </c>
      <c r="M717" s="153">
        <f>-PMT('Interface - Substantial impacts'!$I$42,'Interface - Substantial impacts'!$I$40,'DW Facility data'!L717)</f>
        <v>24796.543127419547</v>
      </c>
      <c r="N717" s="169">
        <f t="shared" si="23"/>
        <v>22415.360000000001</v>
      </c>
      <c r="O717" s="85">
        <v>24811</v>
      </c>
      <c r="P717" s="81">
        <v>0</v>
      </c>
      <c r="V717" s="103" t="s">
        <v>1260</v>
      </c>
      <c r="W717" s="68">
        <v>1332</v>
      </c>
    </row>
    <row r="718" spans="1:23" x14ac:dyDescent="0.25">
      <c r="A718" s="40">
        <v>1860024</v>
      </c>
      <c r="B718" s="109" t="s">
        <v>1771</v>
      </c>
      <c r="C718" s="69"/>
      <c r="D718" s="113"/>
      <c r="E718" s="40">
        <v>8300000</v>
      </c>
      <c r="K718" s="108">
        <v>0</v>
      </c>
      <c r="L718" s="66">
        <f t="shared" si="22"/>
        <v>66400000</v>
      </c>
      <c r="M718" s="153">
        <f>-PMT('Interface - Substantial impacts'!$I$42,'Interface - Substantial impacts'!$I$40,'DW Facility data'!L718)</f>
        <v>5171138.3908940265</v>
      </c>
      <c r="N718" s="169">
        <f t="shared" si="23"/>
        <v>4674560</v>
      </c>
      <c r="O718" s="105"/>
      <c r="P718" s="86"/>
      <c r="V718" s="103" t="s">
        <v>1755</v>
      </c>
      <c r="W718" s="68">
        <v>169</v>
      </c>
    </row>
    <row r="719" spans="1:23" x14ac:dyDescent="0.25">
      <c r="A719" s="40">
        <v>1860025</v>
      </c>
      <c r="B719" s="40" t="s">
        <v>1609</v>
      </c>
      <c r="C719" s="68">
        <v>1922</v>
      </c>
      <c r="D719" s="111">
        <v>652</v>
      </c>
      <c r="E719" s="40">
        <v>382000</v>
      </c>
      <c r="K719" s="108">
        <v>0</v>
      </c>
      <c r="L719" s="66">
        <f t="shared" si="22"/>
        <v>3056000</v>
      </c>
      <c r="M719" s="153">
        <f>-PMT('Interface - Substantial impacts'!$I$42,'Interface - Substantial impacts'!$I$40,'DW Facility data'!L719)</f>
        <v>237996.97172548409</v>
      </c>
      <c r="N719" s="169">
        <f t="shared" si="23"/>
        <v>215142.40000000002</v>
      </c>
      <c r="O719" s="85">
        <v>311520</v>
      </c>
      <c r="P719" s="81">
        <v>53013</v>
      </c>
      <c r="V719" s="103" t="s">
        <v>1861</v>
      </c>
      <c r="W719" s="68">
        <v>128</v>
      </c>
    </row>
    <row r="720" spans="1:23" x14ac:dyDescent="0.25">
      <c r="A720" s="40">
        <v>1860026</v>
      </c>
      <c r="B720" s="40" t="s">
        <v>1163</v>
      </c>
      <c r="C720" s="68">
        <v>19966</v>
      </c>
      <c r="D720" s="112">
        <v>5784</v>
      </c>
      <c r="E720" s="40">
        <v>5168000</v>
      </c>
      <c r="K720" s="108">
        <v>0</v>
      </c>
      <c r="L720" s="66">
        <f t="shared" si="22"/>
        <v>41344000</v>
      </c>
      <c r="M720" s="153">
        <f>-PMT('Interface - Substantial impacts'!$I$42,'Interface - Substantial impacts'!$I$40,'DW Facility data'!L720)</f>
        <v>3219812.434233774</v>
      </c>
      <c r="N720" s="169">
        <f t="shared" si="23"/>
        <v>2910617.6000000001</v>
      </c>
      <c r="O720" s="85">
        <v>1289632</v>
      </c>
      <c r="P720" s="81">
        <v>994490</v>
      </c>
      <c r="V720" s="103" t="s">
        <v>1657</v>
      </c>
      <c r="W720" s="68">
        <v>381</v>
      </c>
    </row>
    <row r="721" spans="1:23" x14ac:dyDescent="0.25">
      <c r="A721" s="40">
        <v>1870001</v>
      </c>
      <c r="B721" s="40" t="s">
        <v>1528</v>
      </c>
      <c r="C721" s="68">
        <v>1695</v>
      </c>
      <c r="D721" s="111">
        <v>909</v>
      </c>
      <c r="E721" s="40">
        <v>500000</v>
      </c>
      <c r="K721" s="108">
        <v>0</v>
      </c>
      <c r="L721" s="66">
        <f t="shared" si="22"/>
        <v>4000000</v>
      </c>
      <c r="M721" s="153">
        <f>-PMT('Interface - Substantial impacts'!$I$42,'Interface - Substantial impacts'!$I$40,'DW Facility data'!L721)</f>
        <v>311514.36089723051</v>
      </c>
      <c r="N721" s="169">
        <f t="shared" si="23"/>
        <v>281600</v>
      </c>
      <c r="O721" s="85">
        <v>866237</v>
      </c>
      <c r="P721" s="81">
        <v>425108</v>
      </c>
      <c r="V721" s="103" t="s">
        <v>1606</v>
      </c>
      <c r="W721" s="68">
        <v>75102</v>
      </c>
    </row>
    <row r="722" spans="1:23" x14ac:dyDescent="0.25">
      <c r="A722" s="40">
        <v>1870002</v>
      </c>
      <c r="B722" s="40" t="s">
        <v>1529</v>
      </c>
      <c r="C722" s="68">
        <v>852</v>
      </c>
      <c r="D722" s="111">
        <v>475</v>
      </c>
      <c r="E722" s="40">
        <v>225000</v>
      </c>
      <c r="K722" s="108">
        <v>0</v>
      </c>
      <c r="L722" s="66">
        <f t="shared" si="22"/>
        <v>1800000</v>
      </c>
      <c r="M722" s="153">
        <f>-PMT('Interface - Substantial impacts'!$I$42,'Interface - Substantial impacts'!$I$40,'DW Facility data'!L722)</f>
        <v>140181.46240375371</v>
      </c>
      <c r="N722" s="169">
        <f t="shared" si="23"/>
        <v>126720.00000000001</v>
      </c>
      <c r="O722" s="85">
        <v>185440</v>
      </c>
      <c r="P722" s="81">
        <v>113854</v>
      </c>
      <c r="V722" s="103" t="s">
        <v>1957</v>
      </c>
      <c r="W722" s="68">
        <v>110</v>
      </c>
    </row>
    <row r="723" spans="1:23" x14ac:dyDescent="0.25">
      <c r="A723" s="40">
        <v>1870003</v>
      </c>
      <c r="B723" s="109" t="s">
        <v>1942</v>
      </c>
      <c r="C723" s="69"/>
      <c r="D723" s="111">
        <v>137</v>
      </c>
      <c r="E723" s="40">
        <v>120000</v>
      </c>
      <c r="K723" s="108">
        <v>0</v>
      </c>
      <c r="L723" s="66">
        <f t="shared" si="22"/>
        <v>960000</v>
      </c>
      <c r="M723" s="153">
        <f>-PMT('Interface - Substantial impacts'!$I$42,'Interface - Substantial impacts'!$I$40,'DW Facility data'!L723)</f>
        <v>74763.446615335313</v>
      </c>
      <c r="N723" s="169">
        <f t="shared" si="23"/>
        <v>67584</v>
      </c>
      <c r="O723" s="105"/>
      <c r="P723" s="86"/>
      <c r="V723" s="103" t="s">
        <v>1262</v>
      </c>
      <c r="W723" s="68">
        <v>13947</v>
      </c>
    </row>
    <row r="724" spans="1:23" x14ac:dyDescent="0.25">
      <c r="A724" s="40">
        <v>1870004</v>
      </c>
      <c r="B724" s="40" t="s">
        <v>1899</v>
      </c>
      <c r="C724" s="68">
        <v>2737</v>
      </c>
      <c r="D724" s="112">
        <v>1279</v>
      </c>
      <c r="E724" s="40">
        <v>700000</v>
      </c>
      <c r="K724" s="108">
        <v>0</v>
      </c>
      <c r="L724" s="66">
        <f t="shared" si="22"/>
        <v>5600000</v>
      </c>
      <c r="M724" s="153">
        <f>-PMT('Interface - Substantial impacts'!$I$42,'Interface - Substantial impacts'!$I$40,'DW Facility data'!L724)</f>
        <v>436120.10525612271</v>
      </c>
      <c r="N724" s="169">
        <f t="shared" si="23"/>
        <v>394240</v>
      </c>
      <c r="O724" s="85">
        <v>1061037</v>
      </c>
      <c r="P724" s="81">
        <v>480139</v>
      </c>
      <c r="V724" s="103" t="s">
        <v>1647</v>
      </c>
      <c r="W724" s="68">
        <v>428</v>
      </c>
    </row>
    <row r="725" spans="1:23" x14ac:dyDescent="0.25">
      <c r="A725" s="40">
        <v>1870005</v>
      </c>
      <c r="B725" s="40" t="s">
        <v>1533</v>
      </c>
      <c r="C725" s="68">
        <v>243</v>
      </c>
      <c r="D725" s="111">
        <v>169</v>
      </c>
      <c r="E725" s="40">
        <v>50000</v>
      </c>
      <c r="K725" s="108">
        <v>0</v>
      </c>
      <c r="L725" s="66">
        <f t="shared" si="22"/>
        <v>400000</v>
      </c>
      <c r="M725" s="153">
        <f>-PMT('Interface - Substantial impacts'!$I$42,'Interface - Substantial impacts'!$I$40,'DW Facility data'!L725)</f>
        <v>31151.436089723051</v>
      </c>
      <c r="N725" s="169">
        <f t="shared" si="23"/>
        <v>28160</v>
      </c>
      <c r="O725" s="85">
        <v>65536</v>
      </c>
      <c r="P725" s="81">
        <v>47975</v>
      </c>
      <c r="V725" s="103" t="s">
        <v>1265</v>
      </c>
      <c r="W725" s="68">
        <v>432</v>
      </c>
    </row>
    <row r="726" spans="1:23" x14ac:dyDescent="0.25">
      <c r="A726" s="40">
        <v>1870006</v>
      </c>
      <c r="B726" s="40" t="s">
        <v>1997</v>
      </c>
      <c r="C726" s="68">
        <v>166</v>
      </c>
      <c r="D726" s="111">
        <v>100</v>
      </c>
      <c r="E726" s="40">
        <v>30000</v>
      </c>
      <c r="K726" s="108">
        <v>0</v>
      </c>
      <c r="L726" s="66">
        <f t="shared" si="22"/>
        <v>240000</v>
      </c>
      <c r="M726" s="153">
        <f>-PMT('Interface - Substantial impacts'!$I$42,'Interface - Substantial impacts'!$I$40,'DW Facility data'!L726)</f>
        <v>18690.861653833828</v>
      </c>
      <c r="N726" s="169">
        <f t="shared" si="23"/>
        <v>16896</v>
      </c>
      <c r="O726" s="85">
        <v>55398</v>
      </c>
      <c r="P726" s="81">
        <v>2545</v>
      </c>
      <c r="V726" s="103" t="s">
        <v>1519</v>
      </c>
      <c r="W726" s="68">
        <v>8032</v>
      </c>
    </row>
    <row r="727" spans="1:23" x14ac:dyDescent="0.25">
      <c r="A727" s="40">
        <v>1870007</v>
      </c>
      <c r="B727" s="40" t="s">
        <v>2025</v>
      </c>
      <c r="C727" s="68">
        <v>93</v>
      </c>
      <c r="D727" s="111">
        <v>83</v>
      </c>
      <c r="E727" s="40">
        <v>15000</v>
      </c>
      <c r="K727" s="108">
        <v>0</v>
      </c>
      <c r="L727" s="66">
        <f t="shared" si="22"/>
        <v>120000</v>
      </c>
      <c r="M727" s="153">
        <f>-PMT('Interface - Substantial impacts'!$I$42,'Interface - Substantial impacts'!$I$40,'DW Facility data'!L727)</f>
        <v>9345.4308269169142</v>
      </c>
      <c r="N727" s="169">
        <f t="shared" si="23"/>
        <v>8448</v>
      </c>
      <c r="O727" s="85">
        <v>15314</v>
      </c>
      <c r="P727" s="81">
        <v>0</v>
      </c>
      <c r="V727" s="103" t="s">
        <v>1267</v>
      </c>
      <c r="W727" s="68">
        <v>6189</v>
      </c>
    </row>
    <row r="728" spans="1:23" x14ac:dyDescent="0.25">
      <c r="A728" s="40">
        <v>1870008</v>
      </c>
      <c r="B728" s="40" t="s">
        <v>1657</v>
      </c>
      <c r="C728" s="68">
        <v>381</v>
      </c>
      <c r="D728" s="111">
        <v>182</v>
      </c>
      <c r="E728" s="40">
        <v>72000</v>
      </c>
      <c r="F728" s="43">
        <v>1385000</v>
      </c>
      <c r="K728" s="108">
        <v>1385000</v>
      </c>
      <c r="L728" s="66">
        <f t="shared" si="22"/>
        <v>576000</v>
      </c>
      <c r="M728" s="153">
        <f>-PMT('Interface - Substantial impacts'!$I$42,'Interface - Substantial impacts'!$I$40,'DW Facility data'!L728)</f>
        <v>44858.067969201191</v>
      </c>
      <c r="N728" s="169">
        <f t="shared" si="23"/>
        <v>40550.400000000001</v>
      </c>
      <c r="O728" s="85">
        <v>111646</v>
      </c>
      <c r="P728" s="81">
        <v>25260</v>
      </c>
      <c r="V728" s="103" t="s">
        <v>1678</v>
      </c>
      <c r="W728" s="68">
        <v>155</v>
      </c>
    </row>
    <row r="729" spans="1:23" x14ac:dyDescent="0.25">
      <c r="A729" s="40">
        <v>1870011</v>
      </c>
      <c r="B729" s="40" t="s">
        <v>1999</v>
      </c>
      <c r="C729" s="68">
        <v>55</v>
      </c>
      <c r="D729" s="111">
        <v>29</v>
      </c>
      <c r="E729" s="40">
        <v>0</v>
      </c>
      <c r="K729" s="108">
        <v>0</v>
      </c>
      <c r="L729" s="66">
        <f t="shared" si="22"/>
        <v>0</v>
      </c>
      <c r="M729" s="153">
        <f>-PMT('Interface - Substantial impacts'!$I$42,'Interface - Substantial impacts'!$I$40,'DW Facility data'!L729)</f>
        <v>0</v>
      </c>
      <c r="N729" s="169">
        <f t="shared" si="23"/>
        <v>0</v>
      </c>
      <c r="O729" s="85">
        <v>6350</v>
      </c>
      <c r="P729" s="81">
        <v>4435</v>
      </c>
      <c r="V729" s="103" t="s">
        <v>1537</v>
      </c>
      <c r="W729" s="68">
        <v>3726</v>
      </c>
    </row>
    <row r="730" spans="1:23" x14ac:dyDescent="0.25">
      <c r="B730" s="40" t="s">
        <v>977</v>
      </c>
      <c r="O730" s="104">
        <v>0</v>
      </c>
      <c r="P730" s="81">
        <v>0</v>
      </c>
    </row>
    <row r="731" spans="1:23" x14ac:dyDescent="0.25">
      <c r="B731" s="40" t="s">
        <v>1031</v>
      </c>
      <c r="O731" s="104">
        <v>0</v>
      </c>
      <c r="P731" s="81">
        <v>0</v>
      </c>
    </row>
    <row r="732" spans="1:23" x14ac:dyDescent="0.25">
      <c r="B732" s="40" t="s">
        <v>1037</v>
      </c>
      <c r="O732" s="104">
        <v>0</v>
      </c>
      <c r="P732" s="81">
        <v>0</v>
      </c>
    </row>
    <row r="733" spans="1:23" x14ac:dyDescent="0.25">
      <c r="B733" s="40" t="s">
        <v>1167</v>
      </c>
      <c r="O733" s="104">
        <v>0</v>
      </c>
      <c r="P733" s="81">
        <v>0</v>
      </c>
    </row>
    <row r="734" spans="1:23" x14ac:dyDescent="0.25">
      <c r="B734" s="40" t="s">
        <v>1177</v>
      </c>
      <c r="O734" s="104">
        <v>0</v>
      </c>
      <c r="P734" s="81">
        <v>0</v>
      </c>
    </row>
    <row r="735" spans="1:23" x14ac:dyDescent="0.25">
      <c r="B735" s="40" t="s">
        <v>1204</v>
      </c>
      <c r="O735" s="104">
        <v>0</v>
      </c>
      <c r="P735" s="81">
        <v>0</v>
      </c>
    </row>
    <row r="736" spans="1:23" x14ac:dyDescent="0.25">
      <c r="B736" s="40" t="s">
        <v>1246</v>
      </c>
      <c r="O736" s="104">
        <v>0</v>
      </c>
      <c r="P736" s="81">
        <v>0</v>
      </c>
    </row>
  </sheetData>
  <sheetProtection sheet="1" objects="1" scenarios="1"/>
  <autoFilter ref="A1:P729" xr:uid="{670DB3ED-1F4C-477B-8722-97BA7978955A}">
    <sortState xmlns:xlrd2="http://schemas.microsoft.com/office/spreadsheetml/2017/richdata2" ref="A2:P729">
      <sortCondition ref="A1:A729"/>
    </sortState>
  </autoFilter>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0C84D1B00AC04D9DBC9C5DC1C6A00F" ma:contentTypeVersion="11" ma:contentTypeDescription="Create a new document." ma:contentTypeScope="" ma:versionID="08c2bd2e417f6695356e2dd8acc44e64">
  <xsd:schema xmlns:xsd="http://www.w3.org/2001/XMLSchema" xmlns:xs="http://www.w3.org/2001/XMLSchema" xmlns:p="http://schemas.microsoft.com/office/2006/metadata/properties" xmlns:ns3="5a761333-8e26-4768-822a-e41999f03fe2" xmlns:ns4="054a89b7-3883-4504-83cd-c5b0b066609a" targetNamespace="http://schemas.microsoft.com/office/2006/metadata/properties" ma:root="true" ma:fieldsID="74f7a689ceea44f9c135ed30d96c2f70" ns3:_="" ns4:_="">
    <xsd:import namespace="5a761333-8e26-4768-822a-e41999f03fe2"/>
    <xsd:import namespace="054a89b7-3883-4504-83cd-c5b0b066609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761333-8e26-4768-822a-e41999f03fe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4a89b7-3883-4504-83cd-c5b0b066609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054a89b7-3883-4504-83cd-c5b0b066609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92ABCB-E3BA-43E5-BB8F-B411F35EC0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761333-8e26-4768-822a-e41999f03fe2"/>
    <ds:schemaRef ds:uri="054a89b7-3883-4504-83cd-c5b0b06660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1C5025-0A05-4227-AB4C-8B99D2AD6C0F}">
  <ds:schemaRefs>
    <ds:schemaRef ds:uri="http://purl.org/dc/terms/"/>
    <ds:schemaRef ds:uri="http://schemas.openxmlformats.org/package/2006/metadata/core-properties"/>
    <ds:schemaRef ds:uri="054a89b7-3883-4504-83cd-c5b0b066609a"/>
    <ds:schemaRef ds:uri="http://schemas.microsoft.com/office/2006/documentManagement/types"/>
    <ds:schemaRef ds:uri="http://schemas.microsoft.com/office/infopath/2007/PartnerControls"/>
    <ds:schemaRef ds:uri="http://purl.org/dc/elements/1.1/"/>
    <ds:schemaRef ds:uri="http://schemas.microsoft.com/office/2006/metadata/properties"/>
    <ds:schemaRef ds:uri="5a761333-8e26-4768-822a-e41999f03fe2"/>
    <ds:schemaRef ds:uri="http://www.w3.org/XML/1998/namespace"/>
    <ds:schemaRef ds:uri="http://purl.org/dc/dcmitype/"/>
  </ds:schemaRefs>
</ds:datastoreItem>
</file>

<file path=customXml/itemProps3.xml><?xml version="1.0" encoding="utf-8"?>
<ds:datastoreItem xmlns:ds="http://schemas.openxmlformats.org/officeDocument/2006/customXml" ds:itemID="{A871FACC-55C4-48F0-9117-1ED3508368D5}">
  <ds:schemaRefs>
    <ds:schemaRef ds:uri="http://schemas.microsoft.com/sharepoint/v3/contenttype/fo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vt:i4>
      </vt:variant>
    </vt:vector>
  </HeadingPairs>
  <TitlesOfParts>
    <vt:vector size="17" baseType="lpstr">
      <vt:lpstr>START HERE</vt:lpstr>
      <vt:lpstr>Instructions</vt:lpstr>
      <vt:lpstr>Interface - Substantial impacts</vt:lpstr>
      <vt:lpstr>Interface - Widespread impacts</vt:lpstr>
      <vt:lpstr>Calculations</vt:lpstr>
      <vt:lpstr>Secondary Calculations</vt:lpstr>
      <vt:lpstr>Municipal screener data</vt:lpstr>
      <vt:lpstr>Secondary Scores data</vt:lpstr>
      <vt:lpstr>DW Facility data</vt:lpstr>
      <vt:lpstr>WWTP facility data</vt:lpstr>
      <vt:lpstr>RO EOP</vt:lpstr>
      <vt:lpstr>Ratio analysis</vt:lpstr>
      <vt:lpstr>Additional evidence</vt:lpstr>
      <vt:lpstr>Results</vt:lpstr>
      <vt:lpstr>'Interface - Substantial impacts'!Print_Area</vt:lpstr>
      <vt:lpstr>Results!Print_Area</vt:lpstr>
      <vt:lpstr>'START HERE'!Print_Area</vt:lpstr>
    </vt:vector>
  </TitlesOfParts>
  <Manager>Sandra Simbeck</Manager>
  <Company>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Eligibility tool for streamlined chloride variance approach</dc:title>
  <dc:subject>The purpose is to supply WWTF planners and municipalities with a tool to determine if they are eligible for a chloride variance based on reasonable potential analysis of chloride data and economic information from public ally available sources.</dc:subject>
  <dc:creator>Minnesota Pollution Control Agency - Ian Babson (Sandra Simbeck)</dc:creator>
  <cp:keywords>minnesota pollution control agency,mpca,wq-wwprm2-17,variance request,Eligibility tool for streamlined chloride variance approach,wastewater</cp:keywords>
  <dc:description>No protections. Form has advanced linking capabilities.</dc:description>
  <cp:lastModifiedBy>Simbeck, Sandra (MPCA)</cp:lastModifiedBy>
  <cp:lastPrinted>2024-08-06T19:34:41Z</cp:lastPrinted>
  <dcterms:created xsi:type="dcterms:W3CDTF">2022-10-13T19:53:17Z</dcterms:created>
  <dcterms:modified xsi:type="dcterms:W3CDTF">2024-08-07T14:26:11Z</dcterms:modified>
  <cp:category>water quality,wastewater</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0x0101000B0C84D1B00AC04D9DBC9C5DC1C6A00F</vt:lpwstr>
  </property>
</Properties>
</file>