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C:\Users\gmeyer\Documents\"/>
    </mc:Choice>
  </mc:AlternateContent>
  <xr:revisionPtr revIDLastSave="0" documentId="8_{AC51ACE8-7B96-4325-827B-10759E35B66F}" xr6:coauthVersionLast="47" xr6:coauthVersionMax="47" xr10:uidLastSave="{00000000-0000-0000-0000-000000000000}"/>
  <bookViews>
    <workbookView xWindow="34215" yWindow="2640" windowWidth="21600" windowHeight="11385" tabRatio="740" xr2:uid="{00000000-000D-0000-FFFF-FFFF00000000}"/>
  </bookViews>
  <sheets>
    <sheet name="Instructions" sheetId="4" r:id="rId1"/>
    <sheet name="Maximum Rate Calculator" sheetId="2" r:id="rId2"/>
    <sheet name="Actual Rate Calculator" sheetId="6" r:id="rId3"/>
    <sheet name="Wet Density Calculator" sheetId="5" r:id="rId4"/>
    <sheet name="Wet Density Max Rate Calc" sheetId="7" r:id="rId5"/>
    <sheet name="Wet Density Actual Rate Calc" sheetId="8" r:id="rId6"/>
    <sheet name="Conversions" sheetId="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6" l="1"/>
  <c r="F42" i="8"/>
  <c r="B41" i="8"/>
  <c r="B40" i="8"/>
  <c r="E32" i="8"/>
  <c r="C32" i="8"/>
  <c r="B35" i="7"/>
  <c r="C30" i="7"/>
  <c r="C29" i="7"/>
  <c r="G40" i="6"/>
  <c r="B40" i="6"/>
  <c r="G39" i="6"/>
  <c r="B39" i="6"/>
  <c r="G37" i="6"/>
  <c r="G36" i="6"/>
  <c r="G35" i="6"/>
  <c r="G34" i="6"/>
  <c r="G31" i="6"/>
  <c r="G41" i="6" s="1"/>
  <c r="E31" i="6"/>
  <c r="C31" i="6"/>
  <c r="E30" i="6"/>
  <c r="E39" i="6" s="1"/>
  <c r="C30" i="6"/>
  <c r="C34" i="6" s="1"/>
  <c r="E38" i="6" l="1"/>
  <c r="C33" i="6"/>
  <c r="C41" i="6" s="1"/>
  <c r="C38" i="6"/>
  <c r="G33" i="6"/>
  <c r="E34" i="6"/>
  <c r="E33" i="6"/>
  <c r="E41" i="6" s="1"/>
  <c r="C37" i="6"/>
  <c r="C40" i="6"/>
  <c r="E37" i="6"/>
  <c r="E40" i="6"/>
  <c r="C36" i="6"/>
  <c r="C35" i="6"/>
  <c r="E36" i="6"/>
  <c r="E35" i="6"/>
  <c r="C39" i="6"/>
  <c r="E32" i="2" l="1"/>
  <c r="E29" i="2"/>
  <c r="E28" i="2"/>
  <c r="C32" i="2"/>
  <c r="C29" i="2"/>
  <c r="C28" i="2"/>
  <c r="E31" i="2" l="1"/>
  <c r="D31" i="2"/>
  <c r="C31" i="2"/>
  <c r="D34" i="2" l="1"/>
  <c r="D33" i="2"/>
  <c r="D32" i="2"/>
  <c r="C34" i="2"/>
  <c r="C33" i="2"/>
  <c r="C35" i="2" l="1"/>
  <c r="D35" i="2"/>
  <c r="G13" i="5" l="1"/>
  <c r="G14" i="5" s="1"/>
  <c r="E13" i="5"/>
  <c r="E14" i="5" s="1"/>
  <c r="C13" i="5"/>
  <c r="C14" i="5" s="1"/>
  <c r="C15" i="5" l="1"/>
  <c r="C9" i="8" s="1"/>
  <c r="C8" i="7" l="1"/>
  <c r="D35" i="7" s="1"/>
  <c r="C35" i="7" s="1"/>
  <c r="B34" i="2"/>
  <c r="D32" i="7" l="1"/>
  <c r="C32" i="7" s="1"/>
  <c r="D33" i="7"/>
  <c r="C33" i="7" s="1"/>
  <c r="D34" i="7"/>
  <c r="C34" i="7" s="1"/>
  <c r="E31" i="8"/>
  <c r="E37" i="8" s="1"/>
  <c r="C31" i="8"/>
  <c r="U16" i="3"/>
  <c r="U14" i="3"/>
  <c r="U13" i="3"/>
  <c r="U11" i="3"/>
  <c r="U15" i="3"/>
  <c r="U12" i="3"/>
  <c r="U10" i="3"/>
  <c r="U9" i="3"/>
  <c r="U8" i="3"/>
  <c r="K15" i="3"/>
  <c r="K14" i="3"/>
  <c r="K13" i="3"/>
  <c r="K12" i="3"/>
  <c r="K11" i="3"/>
  <c r="K10" i="3"/>
  <c r="K9" i="3"/>
  <c r="K8" i="3"/>
  <c r="K7" i="3"/>
  <c r="E35" i="8" l="1"/>
  <c r="E40" i="8"/>
  <c r="E36" i="8"/>
  <c r="E39" i="8"/>
  <c r="E38" i="8"/>
  <c r="E34" i="8"/>
  <c r="E42" i="8" s="1"/>
  <c r="E41" i="8"/>
  <c r="C36" i="7"/>
  <c r="D36" i="7"/>
  <c r="C39" i="8"/>
  <c r="C34" i="8"/>
  <c r="C42" i="8" s="1"/>
  <c r="C40" i="8"/>
  <c r="C38" i="8"/>
  <c r="C37" i="8"/>
  <c r="C35" i="8"/>
  <c r="C41" i="8"/>
  <c r="C36" i="8"/>
  <c r="E34" i="2"/>
  <c r="E33" i="2"/>
  <c r="E16" i="3" l="1"/>
  <c r="E15" i="3"/>
  <c r="P8" i="3" l="1"/>
  <c r="P7" i="3"/>
  <c r="P6" i="3"/>
  <c r="E14" i="3"/>
  <c r="E13" i="3"/>
  <c r="E11" i="3"/>
  <c r="E12" i="3"/>
  <c r="E10" i="3"/>
  <c r="E9" i="3"/>
  <c r="E8" i="3"/>
  <c r="E35" i="2" l="1"/>
</calcChain>
</file>

<file path=xl/sharedStrings.xml><?xml version="1.0" encoding="utf-8"?>
<sst xmlns="http://schemas.openxmlformats.org/spreadsheetml/2006/main" count="534" uniqueCount="179">
  <si>
    <t>%</t>
  </si>
  <si>
    <t>Total solids</t>
  </si>
  <si>
    <t>Ammonia nitrogen</t>
  </si>
  <si>
    <t>mg/kg</t>
  </si>
  <si>
    <t>Sodium</t>
  </si>
  <si>
    <t>lb N/dry ton</t>
  </si>
  <si>
    <t>Units</t>
  </si>
  <si>
    <t>Result</t>
  </si>
  <si>
    <t>●  Use 50%</t>
  </si>
  <si>
    <t>●  Surface application use 50%</t>
  </si>
  <si>
    <t>●  Immediate incorporation or injection use 100%</t>
  </si>
  <si>
    <t>Nitrogen credits</t>
  </si>
  <si>
    <t>Nitrate nitrogen (if quantified)</t>
  </si>
  <si>
    <t>mg/L</t>
  </si>
  <si>
    <t>Available N</t>
  </si>
  <si>
    <t>lb N/ac</t>
  </si>
  <si>
    <t>Gallons
per acre</t>
  </si>
  <si>
    <t>Parameter</t>
  </si>
  <si>
    <t>Phosphorus</t>
  </si>
  <si>
    <t>Total available nitrogen applied</t>
  </si>
  <si>
    <t>Total phosphorus applied</t>
  </si>
  <si>
    <t>Total sodium applied</t>
  </si>
  <si>
    <t>As-received basis</t>
  </si>
  <si>
    <t>Fats, oils, and grease (FOG)</t>
  </si>
  <si>
    <t>Total FOG applied</t>
  </si>
  <si>
    <t>Maximum IBP application rates</t>
  </si>
  <si>
    <t>Application rate</t>
  </si>
  <si>
    <t>wet tons/ac</t>
  </si>
  <si>
    <t>Pounds per acre</t>
  </si>
  <si>
    <t>●  Use 25%</t>
  </si>
  <si>
    <t>A</t>
  </si>
  <si>
    <t>B</t>
  </si>
  <si>
    <t>Maximum IBP Application Rate Calculator</t>
  </si>
  <si>
    <t>Actual IBP Application Rate Calculator</t>
  </si>
  <si>
    <t>gal/ac</t>
  </si>
  <si>
    <t>mg N/L</t>
  </si>
  <si>
    <t>Liquid basis</t>
  </si>
  <si>
    <t>Dry weight basis</t>
  </si>
  <si>
    <t>Allowed maximum IBP application rate</t>
  </si>
  <si>
    <t>Actual IBP application rate</t>
  </si>
  <si>
    <t>Actual constituent application rates</t>
  </si>
  <si>
    <t>Crop N need</t>
  </si>
  <si>
    <t>Based on sodium addition (170 lb Na/ac limit)</t>
  </si>
  <si>
    <t>Chloride as Cl</t>
  </si>
  <si>
    <t>Sodium as Na</t>
  </si>
  <si>
    <t>Potassium as K (or other)</t>
  </si>
  <si>
    <t>Result in mg/kg</t>
  </si>
  <si>
    <t>Result in %</t>
  </si>
  <si>
    <t>Oil and grease (FOG)</t>
  </si>
  <si>
    <t>C</t>
  </si>
  <si>
    <t>As-Received (wet) Basis to Dry Weight Basis Converter</t>
  </si>
  <si>
    <t>Dry Weight Basis Unit Converter</t>
  </si>
  <si>
    <t>Reported result in mg/kg</t>
  </si>
  <si>
    <t>Reported result in %</t>
  </si>
  <si>
    <t>NA</t>
  </si>
  <si>
    <t>Supplemental Unit Converter</t>
  </si>
  <si>
    <t xml:space="preserve">Reported result </t>
  </si>
  <si>
    <t>Converted result</t>
  </si>
  <si>
    <t>ug/g (or µg/g)</t>
  </si>
  <si>
    <t>Reported
result units</t>
  </si>
  <si>
    <t>dry tons/ac</t>
  </si>
  <si>
    <t>Conversion factors used in the equations.</t>
  </si>
  <si>
    <t>1 ton</t>
  </si>
  <si>
    <t>2000 pounds</t>
  </si>
  <si>
    <t>1 gal water</t>
  </si>
  <si>
    <t>8.3454 pounds</t>
  </si>
  <si>
    <t>1 kilogram</t>
  </si>
  <si>
    <t>1,000,000 milligrams</t>
  </si>
  <si>
    <t>1 milligram</t>
  </si>
  <si>
    <t>1000 micrograms</t>
  </si>
  <si>
    <t>1 milliliter</t>
  </si>
  <si>
    <t>1000 microliters</t>
  </si>
  <si>
    <t>=</t>
  </si>
  <si>
    <t>Carryover nitrogen for the following cropping year</t>
  </si>
  <si>
    <t>lb/ac</t>
  </si>
  <si>
    <t>●  Enter permit-specific limit</t>
  </si>
  <si>
    <t>Potassium</t>
  </si>
  <si>
    <t>Total potassium applied</t>
  </si>
  <si>
    <t>Additional parameter</t>
  </si>
  <si>
    <t>Liquid Basis (mg/L) to Dry Weight Basis Converter</t>
  </si>
  <si>
    <t>Result in mg/L</t>
  </si>
  <si>
    <t>lb</t>
  </si>
  <si>
    <t>lb/gal</t>
  </si>
  <si>
    <t>tons</t>
  </si>
  <si>
    <t>cy</t>
  </si>
  <si>
    <t>gal</t>
  </si>
  <si>
    <t>●  Enter permit-specific parameter name</t>
  </si>
  <si>
    <t>●  Enter parameter 1 name</t>
  </si>
  <si>
    <t>●  Enter parameter 2 name</t>
  </si>
  <si>
    <t>lb Na/ac</t>
  </si>
  <si>
    <t>●  From fertilizer or other IBPs</t>
  </si>
  <si>
    <t>Five-gallon pail method</t>
  </si>
  <si>
    <t>Truck/trailer volume</t>
  </si>
  <si>
    <t>Weight of empty truck/trailer</t>
  </si>
  <si>
    <t>Truck/trailer method 1</t>
  </si>
  <si>
    <t>Truck/trailer method 2</t>
  </si>
  <si>
    <t>Weight of material</t>
  </si>
  <si>
    <t>Weight of full truck/trailer</t>
  </si>
  <si>
    <t>Density of material</t>
  </si>
  <si>
    <t>Density of material for rate calculators</t>
  </si>
  <si>
    <t>201.974 gal</t>
  </si>
  <si>
    <t>1 cubic yard</t>
  </si>
  <si>
    <t>cubic yards</t>
  </si>
  <si>
    <t>Weight of empty five-gallon pail</t>
  </si>
  <si>
    <t>Weight of full five-gallon pail</t>
  </si>
  <si>
    <t>Notes:</t>
  </si>
  <si>
    <t>Based on nitrogen addition (crop N need)</t>
  </si>
  <si>
    <t>Wet tons
per acre</t>
  </si>
  <si>
    <t>FOG</t>
  </si>
  <si>
    <t>fats, oils, and grease (Oil and Grease analysis)</t>
  </si>
  <si>
    <t>Total phosphorus</t>
  </si>
  <si>
    <t>If your reported results are not in the units used in the two other converters, use this one to convert them. This converter lists the units you are most likely to encounter, whether on an as-received (wet) basis or a dry weight basis.</t>
  </si>
  <si>
    <t>IBP</t>
  </si>
  <si>
    <t>industrial by-product</t>
  </si>
  <si>
    <t>Total Kjeldahl nitrogen</t>
  </si>
  <si>
    <t>The information in the cells below has been calculated for your IBP.</t>
  </si>
  <si>
    <t>Chloride</t>
  </si>
  <si>
    <t>Total chloride applied</t>
  </si>
  <si>
    <t>Enter your IBP results into the shaded cells below depending on whether they are reported as a solid on a dry weight basis (column A) or as a liquid in milligrams per liter (column B). If your results are reported as a solid on an as-received (wet) basis, you first need to convert the results to dry weight. Use the convertors in the Conversions worksheet. If your results are not in the units used in the calculator, you first need to convert them to the correct units. Use the convertors in the Conversions worksheet.</t>
  </si>
  <si>
    <t>Maximum Allowable Nitrogen Application (MANA) rate</t>
  </si>
  <si>
    <t>Enter your IBP results into the shaded cells below depending on whether they are reported as a solid on a dry weight basis (column A or B) or as a liquid in milligrams per liter (column C). For dry weight data entry, choose which column to use based on whether your actual IBP application rate is based on gallons per acre (column A) or wet tons per acre (column B). If your results are reported as a solid on an as-received (wet) basis, you first need to convert the results to dry weight. Use the convertors in the Conversions worksheet. If your results are not in the units used in the calculator, you first need to convert them to the correct units. Use the convertors in the Conversions worksheet.</t>
  </si>
  <si>
    <t>Wet Density Maximum IBP Application Rate Calculator</t>
  </si>
  <si>
    <t>Wet Density Actual IBP Application Rate Calculator</t>
  </si>
  <si>
    <t>IBP Wet Density Calculator</t>
  </si>
  <si>
    <t>To determine the density of your material, use one of the methods below. Column A is for the five-gallon pail method. Columns B and C are for truck or trailer measurements based on whether you are measuring volume in cubic yards or gallons. If you need to convert tons to pounds, multiply tons by 2000. If you need to convert pounds to tons, divide pounds by 2000. The density is used in the wet density maximum application rate calculator and in column A of the wet density actual application rate calculator. If you use more than one method to calculate the density, you will receive an ERROR message in cell C15. Enter data into the shaded cells for only one method.</t>
  </si>
  <si>
    <t>IBP wet density from cell C15 in Wet Density Calculator</t>
  </si>
  <si>
    <t>Enter your IBP results into the shaded cells below. If your results are reported as a solid on an as-received (wet) basis, you first need to convert the results to dry weight. Use the convertors in the Conversions worksheet. If your results are not in the units used in the calculator, you first need to convert them to the correct units. Use the convertors in the Conversions worksheet.</t>
  </si>
  <si>
    <t>Enter your IBP results into the shaded cells below. Choose which column to use based on whether your actual IBP application rate is in gallons per acre (column A) or wet tons per acre (column B). If your results are reported as a solid on an as-received (wet) basis, you first need to convert the results to dry weight. Use the convertors in the Conversions worksheet. If your results are not in the units used in the calculator, you first need to convert them to the correct units. Use the convertors in the Conversions worksheet.</t>
  </si>
  <si>
    <t>To convert results reported as solids on an as-received (wet ) basis to a dry weight basis, enter the reported results in the shaded cells. For results reported in mg/kg, use column A. For results reported in percent, use column B. You must enter the percent total solids in order for the dry weight result to be determined. The units for the dry weight basis results are those required to be reported by the IBP permit and used in the application rate calculators.</t>
  </si>
  <si>
    <t>If your results are reported as solids on a dry weight basis but are not in the units used in the calculator, enter the reported results in the shaded cells to convert to the correct units. Because the results are already on a dry weight basis, there is no need for the total solids result. In addition, this will only convert mg/kg to percent and percent to mg/kg. To convert other reported units, see the Supplemental Unit Converter. NA is used to indicate that the reported dry weight basis units are already in the units used in the application rate calculators.</t>
  </si>
  <si>
    <t>To convert results reported in mg/L to a dry weight basis, enter the reported results in the shaded cells. You must enter the percent total solids in order for the dry weight result to be determined. The units for the dry weight basis results are those required to be reported by the IBP permit and used in the application rate calculators.</t>
  </si>
  <si>
    <t>MANA</t>
  </si>
  <si>
    <t>Na</t>
  </si>
  <si>
    <t>mg</t>
  </si>
  <si>
    <t>ac</t>
  </si>
  <si>
    <t>kg</t>
  </si>
  <si>
    <t>L</t>
  </si>
  <si>
    <t>MPCA</t>
  </si>
  <si>
    <t>K</t>
  </si>
  <si>
    <t>Cl</t>
  </si>
  <si>
    <t>g</t>
  </si>
  <si>
    <t>sodium</t>
  </si>
  <si>
    <t>pound</t>
  </si>
  <si>
    <t>acre</t>
  </si>
  <si>
    <t>milligram</t>
  </si>
  <si>
    <t>kilogram</t>
  </si>
  <si>
    <t>liter</t>
  </si>
  <si>
    <t>Minnesota Pollution Control Agency</t>
  </si>
  <si>
    <t>gallon</t>
  </si>
  <si>
    <t>potassium</t>
  </si>
  <si>
    <t>chloride</t>
  </si>
  <si>
    <t>not applicable</t>
  </si>
  <si>
    <t>microgram</t>
  </si>
  <si>
    <t>gram</t>
  </si>
  <si>
    <t>N</t>
  </si>
  <si>
    <t>nitrogen</t>
  </si>
  <si>
    <t>Acronyms used in the worksheets.</t>
  </si>
  <si>
    <t>maximum allowable nitrogen application</t>
  </si>
  <si>
    <r>
      <t>Permit-specific limiting parameter</t>
    </r>
    <r>
      <rPr>
        <vertAlign val="superscript"/>
        <sz val="9"/>
        <rFont val="Arial"/>
        <family val="2"/>
      </rPr>
      <t>1</t>
    </r>
  </si>
  <si>
    <r>
      <t>Organic N availability factor</t>
    </r>
    <r>
      <rPr>
        <vertAlign val="superscript"/>
        <sz val="9"/>
        <rFont val="Arial"/>
        <family val="2"/>
      </rPr>
      <t>2</t>
    </r>
  </si>
  <si>
    <r>
      <t>Ammonia N availability factor</t>
    </r>
    <r>
      <rPr>
        <vertAlign val="superscript"/>
        <sz val="9"/>
        <rFont val="Arial"/>
        <family val="2"/>
      </rPr>
      <t>3</t>
    </r>
  </si>
  <si>
    <r>
      <t>Additional sodium inputs</t>
    </r>
    <r>
      <rPr>
        <vertAlign val="superscript"/>
        <sz val="9"/>
        <rFont val="Arial"/>
        <family val="2"/>
      </rPr>
      <t>4</t>
    </r>
  </si>
  <si>
    <r>
      <t>Based on FOG addition (1500 lb FOG/ac limit)</t>
    </r>
    <r>
      <rPr>
        <vertAlign val="superscript"/>
        <sz val="9"/>
        <rFont val="Arial"/>
        <family val="2"/>
      </rPr>
      <t>5</t>
    </r>
  </si>
  <si>
    <r>
      <rPr>
        <vertAlign val="superscript"/>
        <sz val="9"/>
        <color theme="1"/>
        <rFont val="Arial"/>
        <family val="2"/>
      </rPr>
      <t>1</t>
    </r>
    <r>
      <rPr>
        <sz val="9"/>
        <color theme="1"/>
        <rFont val="Arial"/>
        <family val="2"/>
      </rPr>
      <t xml:space="preserve">If there is a permit-specific limit, enter the annual application limit in cell C15 and the parameter name in cell C16.
</t>
    </r>
    <r>
      <rPr>
        <vertAlign val="superscript"/>
        <sz val="9"/>
        <color theme="1"/>
        <rFont val="Arial"/>
        <family val="2"/>
      </rPr>
      <t>2</t>
    </r>
    <r>
      <rPr>
        <sz val="9"/>
        <color theme="1"/>
        <rFont val="Arial"/>
        <family val="2"/>
      </rPr>
      <t xml:space="preserve">For permits issued before December 1, 2008, use 100%. For permit-specific approvals, use the factor (i.e., mineralization rate) allowed by your permit. Check your permit if uncertain.
</t>
    </r>
    <r>
      <rPr>
        <vertAlign val="superscript"/>
        <sz val="9"/>
        <color theme="1"/>
        <rFont val="Arial"/>
        <family val="2"/>
      </rPr>
      <t>3</t>
    </r>
    <r>
      <rPr>
        <sz val="9"/>
        <color theme="1"/>
        <rFont val="Arial"/>
        <family val="2"/>
      </rPr>
      <t xml:space="preserve">For permits issued before December 1, 2008, use 100% when the IBP is injected or incorporated or use 75% when the IBP is surface applied. Check your permit if uncertain.
</t>
    </r>
    <r>
      <rPr>
        <vertAlign val="superscript"/>
        <sz val="9"/>
        <color theme="1"/>
        <rFont val="Arial"/>
        <family val="2"/>
      </rPr>
      <t>4</t>
    </r>
    <r>
      <rPr>
        <sz val="9"/>
        <color theme="1"/>
        <rFont val="Arial"/>
        <family val="2"/>
      </rPr>
      <t xml:space="preserve">Simillar to nitrogen, all sodium sources should be accounted for when considering the 170 lb Na/ac limit. This is especially important for sites that are used by more than one permittee in the same cropping year.
</t>
    </r>
    <r>
      <rPr>
        <vertAlign val="superscript"/>
        <sz val="9"/>
        <color theme="1"/>
        <rFont val="Arial"/>
        <family val="2"/>
      </rPr>
      <t>5</t>
    </r>
    <r>
      <rPr>
        <sz val="9"/>
        <color theme="1"/>
        <rFont val="Arial"/>
        <family val="2"/>
      </rPr>
      <t>The FOG-based application rate is not taken into account in the Allowed maximum IBP application rate determination. It's provided for comparison and for evaluating IBP quality in regard to the MPCA's restaurant grease trap waste guidance.</t>
    </r>
  </si>
  <si>
    <r>
      <t>Additional parameter 1</t>
    </r>
    <r>
      <rPr>
        <vertAlign val="superscript"/>
        <sz val="9"/>
        <rFont val="Arial"/>
        <family val="2"/>
      </rPr>
      <t>1</t>
    </r>
  </si>
  <si>
    <r>
      <t>Additional parameter 2</t>
    </r>
    <r>
      <rPr>
        <vertAlign val="superscript"/>
        <sz val="9"/>
        <rFont val="Arial"/>
        <family val="2"/>
      </rPr>
      <t>1</t>
    </r>
  </si>
  <si>
    <r>
      <t>Carryover N factor</t>
    </r>
    <r>
      <rPr>
        <vertAlign val="superscript"/>
        <sz val="9"/>
        <rFont val="Arial"/>
        <family val="2"/>
      </rPr>
      <t>4</t>
    </r>
  </si>
  <si>
    <r>
      <rPr>
        <vertAlign val="superscript"/>
        <sz val="9"/>
        <color theme="1"/>
        <rFont val="Arial"/>
        <family val="2"/>
      </rPr>
      <t>1</t>
    </r>
    <r>
      <rPr>
        <sz val="9"/>
        <color theme="1"/>
        <rFont val="Arial"/>
        <family val="2"/>
      </rPr>
      <t xml:space="preserve">For additional parameters that need to be tracked, enter the concentration in the applicable cell/column and the parameter name in cell C19 for parameter 1 and cell C21 for parameter 2.
</t>
    </r>
    <r>
      <rPr>
        <vertAlign val="superscript"/>
        <sz val="9"/>
        <color theme="1"/>
        <rFont val="Arial"/>
        <family val="2"/>
      </rPr>
      <t>2</t>
    </r>
    <r>
      <rPr>
        <sz val="9"/>
        <color theme="1"/>
        <rFont val="Arial"/>
        <family val="2"/>
      </rPr>
      <t xml:space="preserve">For permits issued before December 1, 2008, use 100%. For permit-specific approvals, use the factor (i.e., mineralization rate) allowed by your permit. Check your permit if uncertain.
</t>
    </r>
    <r>
      <rPr>
        <vertAlign val="superscript"/>
        <sz val="9"/>
        <color theme="1"/>
        <rFont val="Arial"/>
        <family val="2"/>
      </rPr>
      <t>3</t>
    </r>
    <r>
      <rPr>
        <sz val="9"/>
        <color theme="1"/>
        <rFont val="Arial"/>
        <family val="2"/>
      </rPr>
      <t xml:space="preserve">For permits issued before December 1, 2008, use 100% when the IBP is injected or incorporated or use 75% when the IBP is surface applied. Check your permit if uncertain.
</t>
    </r>
    <r>
      <rPr>
        <vertAlign val="superscript"/>
        <sz val="9"/>
        <color theme="1"/>
        <rFont val="Arial"/>
        <family val="2"/>
      </rPr>
      <t>4</t>
    </r>
    <r>
      <rPr>
        <sz val="9"/>
        <color theme="1"/>
        <rFont val="Arial"/>
        <family val="2"/>
      </rPr>
      <t>For permits issued before December 1, 2008, do not enter a value. It is assumed all organic nitrogen is mineralized in the year it is applied, which corresponds to footnote 2 indicating to use 100% as the organic N mineralization rate. There is no carryover. For permit-specific approvals, use the factor allowed by your permit.</t>
    </r>
  </si>
  <si>
    <r>
      <rPr>
        <vertAlign val="superscript"/>
        <sz val="9"/>
        <color theme="1"/>
        <rFont val="Arial"/>
        <family val="2"/>
      </rPr>
      <t>1</t>
    </r>
    <r>
      <rPr>
        <sz val="9"/>
        <color theme="1"/>
        <rFont val="Arial"/>
        <family val="2"/>
      </rPr>
      <t xml:space="preserve">If there is a permit-specific limit, enter the annual application limit in cell C16 and the parameter name in cell C17.
</t>
    </r>
    <r>
      <rPr>
        <vertAlign val="superscript"/>
        <sz val="9"/>
        <color theme="1"/>
        <rFont val="Arial"/>
        <family val="2"/>
      </rPr>
      <t>2</t>
    </r>
    <r>
      <rPr>
        <sz val="9"/>
        <color theme="1"/>
        <rFont val="Arial"/>
        <family val="2"/>
      </rPr>
      <t xml:space="preserve">For permits issued before December 1, 2008, use 100%. For permit-specific approvals, use the factor (i.e., mineralization rate) allowed by your permit. Check your permit if uncertain.
</t>
    </r>
    <r>
      <rPr>
        <vertAlign val="superscript"/>
        <sz val="9"/>
        <color theme="1"/>
        <rFont val="Arial"/>
        <family val="2"/>
      </rPr>
      <t>3</t>
    </r>
    <r>
      <rPr>
        <sz val="9"/>
        <color theme="1"/>
        <rFont val="Arial"/>
        <family val="2"/>
      </rPr>
      <t xml:space="preserve">For permits issued before December 1, 2008, use 100% when the IBP is injected or incorporated or use 75% when the IBP is surface applied. Check your permit if uncertain.
</t>
    </r>
    <r>
      <rPr>
        <vertAlign val="superscript"/>
        <sz val="9"/>
        <color theme="1"/>
        <rFont val="Arial"/>
        <family val="2"/>
      </rPr>
      <t>4</t>
    </r>
    <r>
      <rPr>
        <sz val="9"/>
        <color theme="1"/>
        <rFont val="Arial"/>
        <family val="2"/>
      </rPr>
      <t xml:space="preserve">Simillar to nitrogen, all sodium sources should be accounted for when considering the 170 lb Na/ac limit. This is especially important for sites that are used by more than one permittee in the same cropping year.
</t>
    </r>
    <r>
      <rPr>
        <vertAlign val="superscript"/>
        <sz val="9"/>
        <color theme="1"/>
        <rFont val="Arial"/>
        <family val="2"/>
      </rPr>
      <t>5</t>
    </r>
    <r>
      <rPr>
        <sz val="9"/>
        <color theme="1"/>
        <rFont val="Arial"/>
        <family val="2"/>
      </rPr>
      <t>The FOG-based application rate is not taken into account in the Allowed maximum IBP application rate determination. It's provided for comparison and for evaluating IBP quality in regard to the MPCA's restaurant grease trap waste guidance.</t>
    </r>
  </si>
  <si>
    <r>
      <rPr>
        <vertAlign val="superscript"/>
        <sz val="9"/>
        <color theme="1"/>
        <rFont val="Arial"/>
        <family val="2"/>
      </rPr>
      <t>1</t>
    </r>
    <r>
      <rPr>
        <sz val="9"/>
        <color theme="1"/>
        <rFont val="Arial"/>
        <family val="2"/>
      </rPr>
      <t xml:space="preserve">For additional parameters that need to be tracked, enter the concentration in the applicable cell/column and the parameter name in cell C20 for parameter 1 and cell C22 for parameter 2.
</t>
    </r>
    <r>
      <rPr>
        <vertAlign val="superscript"/>
        <sz val="9"/>
        <color theme="1"/>
        <rFont val="Arial"/>
        <family val="2"/>
      </rPr>
      <t>2</t>
    </r>
    <r>
      <rPr>
        <sz val="9"/>
        <color theme="1"/>
        <rFont val="Arial"/>
        <family val="2"/>
      </rPr>
      <t xml:space="preserve">For permits issued before December 1, 2008, use 100%. For permit-specific approvals, use the factor (i.e., mineralization rate) allowed by your permit. Check your permit if uncertain.
</t>
    </r>
    <r>
      <rPr>
        <vertAlign val="superscript"/>
        <sz val="9"/>
        <color theme="1"/>
        <rFont val="Arial"/>
        <family val="2"/>
      </rPr>
      <t>3</t>
    </r>
    <r>
      <rPr>
        <sz val="9"/>
        <color theme="1"/>
        <rFont val="Arial"/>
        <family val="2"/>
      </rPr>
      <t xml:space="preserve">For permits issued before December 1, 2008, use 100% when the IBP is injected or incorporated or use 75% when the IBP is surface applied. Check your permit if uncertain.
</t>
    </r>
    <r>
      <rPr>
        <vertAlign val="superscript"/>
        <sz val="9"/>
        <color theme="1"/>
        <rFont val="Arial"/>
        <family val="2"/>
      </rPr>
      <t>4</t>
    </r>
    <r>
      <rPr>
        <sz val="9"/>
        <color theme="1"/>
        <rFont val="Arial"/>
        <family val="2"/>
      </rPr>
      <t>For permits issued before December 1, 2008, do not enter a value. It is assumed all organic nitrogen is mineralized in the year it is applied, which corresponds to footnote 2 indicating to use 100% as the organic N mineralization rate. There is no carryover. For permit-specific approvals, use the factor allowed by your permit.</t>
    </r>
  </si>
  <si>
    <t>ug/kg (or µg/kg)</t>
  </si>
  <si>
    <t>ug/L (or µg/L)</t>
  </si>
  <si>
    <r>
      <t>Total solids (%</t>
    </r>
    <r>
      <rPr>
        <vertAlign val="superscript"/>
        <sz val="9"/>
        <color theme="1"/>
        <rFont val="Arial"/>
        <family val="2"/>
      </rPr>
      <t>1</t>
    </r>
    <r>
      <rPr>
        <sz val="9"/>
        <color theme="1"/>
        <rFont val="Arial"/>
        <family val="2"/>
      </rPr>
      <t>) (must enter)</t>
    </r>
  </si>
  <si>
    <r>
      <rPr>
        <vertAlign val="superscript"/>
        <sz val="9"/>
        <color theme="1"/>
        <rFont val="Arial"/>
        <family val="2"/>
      </rPr>
      <t>1</t>
    </r>
    <r>
      <rPr>
        <sz val="9"/>
        <color theme="1"/>
        <rFont val="Arial"/>
        <family val="2"/>
      </rPr>
      <t>If the total solids result is reported in mg/kg, then divide it by 10,000 to convert to percent.</t>
    </r>
  </si>
  <si>
    <r>
      <rPr>
        <vertAlign val="superscript"/>
        <sz val="9"/>
        <color theme="1"/>
        <rFont val="Arial"/>
        <family val="2"/>
      </rPr>
      <t>1</t>
    </r>
    <r>
      <rPr>
        <sz val="9"/>
        <color theme="1"/>
        <rFont val="Arial"/>
        <family val="2"/>
      </rPr>
      <t>If the total solids result is reported in mg/L, then divide it by 10,000 to convert to percent.</t>
    </r>
  </si>
  <si>
    <t>●  From manure, fertilizer, other IBPs, carryover, soil nitrate test</t>
  </si>
  <si>
    <t>ug or µg</t>
  </si>
  <si>
    <r>
      <rPr>
        <b/>
        <sz val="9"/>
        <color theme="1"/>
        <rFont val="Arial"/>
        <family val="2"/>
      </rPr>
      <t xml:space="preserve">Instructions
</t>
    </r>
    <r>
      <rPr>
        <sz val="9"/>
        <color theme="1"/>
        <rFont val="Arial"/>
        <family val="2"/>
      </rPr>
      <t xml:space="preserve">
The Industrial By-Product (IBP) Application Rate Calculator contains worksheets to determine maximum and actual IBP application rates consistent with the requirements of the IBP program and IBP permits. These tools can be useful to determine maximum application rates required in Site Notification Forms and for planning a land application event, as well as for reporting actual application rates to end users and in the IBP Annual Report. In addition, tools for converting laboratory analytical data between different units are provided. For all worksheets, enter data into the shaded cells.
For nitrogen parameters, if total Kjeldahl nitrogen is less than ammonia N, there will be some amount of error, and carryover N will be negative. In this situation, it is better to enter the higher ammonia N concentration as the total Kjeldahl concentration as well.
The five calculator worksheets are formatted for printing. Although not required to be submitted with Site Notification Forms or the IBP Annual Report, copies of the calculator worksheets are helpful to support reported application rates. Additional instructions are provided below and within the worksheets.
</t>
    </r>
    <r>
      <rPr>
        <b/>
        <sz val="9"/>
        <color theme="1"/>
        <rFont val="Arial"/>
        <family val="2"/>
      </rPr>
      <t>Maximum Rate Calculator/Actual Rate Calculator Worksheets</t>
    </r>
    <r>
      <rPr>
        <sz val="9"/>
        <color theme="1"/>
        <rFont val="Arial"/>
        <family val="2"/>
      </rPr>
      <t xml:space="preserve">
These two worksheets are the standard worksheets that would be used for most IBPs. This includes IBPs that are mostly organic in nature and those that are mostly water. They can be used for materials that are managed as solids or liquids. For liquid IBPs that are analyzed as a liquid with results reported in mg/L, these two worksheets allow you to use the liquid results without having to convert them to a dry weight basis.
</t>
    </r>
    <r>
      <rPr>
        <b/>
        <sz val="9"/>
        <color theme="1"/>
        <rFont val="Arial"/>
        <family val="2"/>
      </rPr>
      <t>Wet Density Calculators</t>
    </r>
    <r>
      <rPr>
        <sz val="9"/>
        <color theme="1"/>
        <rFont val="Arial"/>
        <family val="2"/>
      </rPr>
      <t xml:space="preserve">
These three worksheets are non-standard worksheets that would be used for IBPs that are managed as solids that may have a density different than water. This may include IBPs with a significant amount of inorganic material that is denser than water. The Wet Density Calculator worksheet is used to determine the wet density at the time of land application. The calculated wet density is carried over to the two application rate calculators. If you have multiple wet density samples (e.g., four five-gallon pail measurements), you may calculate an average full-bucket weight for your samples and enter the average in the worksheet.
</t>
    </r>
    <r>
      <rPr>
        <b/>
        <sz val="9"/>
        <color theme="1"/>
        <rFont val="Arial"/>
        <family val="2"/>
      </rPr>
      <t>Conversions Worksheet</t>
    </r>
    <r>
      <rPr>
        <sz val="9"/>
        <color theme="1"/>
        <rFont val="Arial"/>
        <family val="2"/>
      </rPr>
      <t xml:space="preserve">
The application rate calculators use IBP results based on the permit-required reporting units. If your laboratory analytical results are not in the correct units or not reported on a dry weight basis, except as aforementioned for liquids reported in mg/L, you first need to convert the results to the units used in the calculator. Several tools are available in the Conversions worksheet to assist you.</t>
    </r>
  </si>
  <si>
    <r>
      <t xml:space="preserve"> Industrial By-Product Application Rate Calculator
</t>
    </r>
    <r>
      <rPr>
        <sz val="11"/>
        <color theme="1"/>
        <rFont val="Arial Black"/>
        <family val="2"/>
      </rPr>
      <t>Industrial By-Product (IBP) Program</t>
    </r>
    <r>
      <rPr>
        <sz val="20"/>
        <color theme="1"/>
        <rFont val="Calibri"/>
        <family val="2"/>
        <scheme val="minor"/>
      </rPr>
      <t xml:space="preserve">
</t>
    </r>
    <r>
      <rPr>
        <i/>
        <sz val="8"/>
        <color theme="1"/>
        <rFont val="Arial"/>
        <family val="2"/>
      </rPr>
      <t>Doc type: WQ Industrial By-Product Land Application
(1/31/2023)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</si>
</sst>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0000"/>
    <numFmt numFmtId="166" formatCode="0.0"/>
    <numFmt numFmtId="167" formatCode="#,##0.000"/>
  </numFmts>
  <fonts count="17" x14ac:knownFonts="1">
    <font>
      <sz val="11"/>
      <color theme="1"/>
      <name val="Calibri"/>
      <family val="2"/>
      <scheme val="minor"/>
    </font>
    <font>
      <sz val="10"/>
      <name val="Arial"/>
      <family val="2"/>
    </font>
    <font>
      <sz val="9"/>
      <name val="Arial"/>
      <family val="2"/>
    </font>
    <font>
      <b/>
      <sz val="10"/>
      <name val="Arial"/>
      <family val="2"/>
    </font>
    <font>
      <sz val="11"/>
      <name val="Calibri"/>
      <family val="2"/>
      <scheme val="minor"/>
    </font>
    <font>
      <b/>
      <sz val="11"/>
      <name val="Calibri"/>
      <family val="2"/>
      <scheme val="minor"/>
    </font>
    <font>
      <b/>
      <sz val="14"/>
      <color theme="1"/>
      <name val="Calibri"/>
      <family val="2"/>
      <scheme val="minor"/>
    </font>
    <font>
      <sz val="20"/>
      <color theme="1"/>
      <name val="Calibri"/>
      <family val="2"/>
      <scheme val="minor"/>
    </font>
    <font>
      <sz val="11"/>
      <color theme="1"/>
      <name val="Arial Black"/>
      <family val="2"/>
    </font>
    <font>
      <i/>
      <sz val="8"/>
      <color theme="1"/>
      <name val="Arial"/>
      <family val="2"/>
    </font>
    <font>
      <sz val="9"/>
      <color theme="1"/>
      <name val="Arial"/>
      <family val="2"/>
    </font>
    <font>
      <b/>
      <sz val="9"/>
      <color theme="1"/>
      <name val="Arial"/>
      <family val="2"/>
    </font>
    <font>
      <b/>
      <sz val="9"/>
      <name val="Arial"/>
      <family val="2"/>
    </font>
    <font>
      <vertAlign val="superscript"/>
      <sz val="9"/>
      <name val="Arial"/>
      <family val="2"/>
    </font>
    <font>
      <vertAlign val="superscript"/>
      <sz val="9"/>
      <color theme="1"/>
      <name val="Arial"/>
      <family val="2"/>
    </font>
    <font>
      <b/>
      <sz val="10"/>
      <color theme="1"/>
      <name val="Arial"/>
      <family val="2"/>
    </font>
    <font>
      <sz val="10"/>
      <color theme="1"/>
      <name val="Arial"/>
      <family val="2"/>
    </font>
  </fonts>
  <fills count="3">
    <fill>
      <patternFill patternType="none"/>
    </fill>
    <fill>
      <patternFill patternType="gray125"/>
    </fill>
    <fill>
      <patternFill patternType="solid">
        <fgColor theme="0" tint="-4.9989318521683403E-2"/>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258">
    <xf numFmtId="0" fontId="0" fillId="0" borderId="0" xfId="0"/>
    <xf numFmtId="0" fontId="0" fillId="0" borderId="0" xfId="0" applyFont="1" applyBorder="1" applyProtection="1">
      <protection hidden="1"/>
    </xf>
    <xf numFmtId="0" fontId="0" fillId="0" borderId="0" xfId="0" applyProtection="1">
      <protection hidden="1"/>
    </xf>
    <xf numFmtId="0" fontId="0" fillId="0" borderId="0" xfId="0" applyFill="1" applyBorder="1" applyProtection="1">
      <protection hidden="1"/>
    </xf>
    <xf numFmtId="164" fontId="0" fillId="0" borderId="0" xfId="0" applyNumberForma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0" xfId="0" applyAlignment="1" applyProtection="1">
      <alignment horizontal="center"/>
      <protection hidden="1"/>
    </xf>
    <xf numFmtId="0" fontId="4" fillId="0" borderId="0" xfId="1" applyFont="1" applyFill="1" applyBorder="1" applyProtection="1">
      <protection hidden="1"/>
    </xf>
    <xf numFmtId="0" fontId="0" fillId="0" borderId="0" xfId="0" applyBorder="1" applyProtection="1">
      <protection hidden="1"/>
    </xf>
    <xf numFmtId="0" fontId="1" fillId="0" borderId="0" xfId="1" applyFont="1" applyFill="1" applyProtection="1">
      <protection hidden="1"/>
    </xf>
    <xf numFmtId="0" fontId="1" fillId="0" borderId="0" xfId="1" applyFont="1" applyFill="1" applyAlignment="1" applyProtection="1">
      <protection hidden="1"/>
    </xf>
    <xf numFmtId="0" fontId="2" fillId="0" borderId="0" xfId="1" applyFont="1" applyFill="1" applyProtection="1">
      <protection hidden="1"/>
    </xf>
    <xf numFmtId="0" fontId="3" fillId="0" borderId="0" xfId="1" applyFont="1" applyFill="1" applyProtection="1">
      <protection hidden="1"/>
    </xf>
    <xf numFmtId="0" fontId="5" fillId="0" borderId="0" xfId="1" applyFont="1" applyFill="1" applyBorder="1" applyProtection="1">
      <protection hidden="1"/>
    </xf>
    <xf numFmtId="0" fontId="0" fillId="0" borderId="0" xfId="0" applyBorder="1" applyAlignment="1" applyProtection="1">
      <alignment vertical="top" wrapText="1"/>
      <protection hidden="1"/>
    </xf>
    <xf numFmtId="0" fontId="0" fillId="0" borderId="0" xfId="0" applyAlignment="1">
      <alignment horizontal="left" vertical="center" wrapText="1"/>
    </xf>
    <xf numFmtId="0" fontId="10" fillId="0" borderId="0" xfId="0" applyFont="1"/>
    <xf numFmtId="0" fontId="10" fillId="0" borderId="0" xfId="0" applyFont="1" applyAlignment="1">
      <alignment horizontal="right"/>
    </xf>
    <xf numFmtId="0" fontId="10" fillId="0" borderId="0" xfId="0" applyFont="1" applyAlignment="1">
      <alignment horizontal="center"/>
    </xf>
    <xf numFmtId="0" fontId="10" fillId="0" borderId="0" xfId="0" applyFont="1" applyAlignment="1">
      <alignment horizontal="left"/>
    </xf>
    <xf numFmtId="0" fontId="10" fillId="0" borderId="0" xfId="0" applyFont="1" applyFill="1" applyBorder="1" applyAlignment="1" applyProtection="1">
      <alignment horizontal="right"/>
      <protection hidden="1"/>
    </xf>
    <xf numFmtId="0" fontId="0" fillId="0" borderId="0" xfId="0"/>
    <xf numFmtId="0" fontId="11" fillId="0" borderId="0" xfId="0" applyFont="1" applyAlignment="1">
      <alignment horizontal="left"/>
    </xf>
    <xf numFmtId="0" fontId="11" fillId="0" borderId="0" xfId="0" applyFont="1"/>
    <xf numFmtId="0" fontId="10" fillId="0" borderId="13" xfId="0" applyFont="1" applyBorder="1" applyAlignment="1" applyProtection="1">
      <alignment horizontal="center"/>
      <protection hidden="1"/>
    </xf>
    <xf numFmtId="0" fontId="10" fillId="0" borderId="11"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2" fillId="0" borderId="4" xfId="1" applyFont="1" applyFill="1" applyBorder="1" applyAlignment="1" applyProtection="1">
      <protection hidden="1"/>
    </xf>
    <xf numFmtId="167" fontId="2" fillId="2" borderId="38" xfId="1" applyNumberFormat="1" applyFont="1" applyFill="1" applyBorder="1" applyAlignment="1" applyProtection="1">
      <alignment horizontal="center"/>
      <protection locked="0"/>
    </xf>
    <xf numFmtId="0" fontId="2" fillId="0" borderId="3" xfId="1" applyFont="1" applyFill="1" applyBorder="1" applyAlignment="1" applyProtection="1">
      <alignment horizontal="center"/>
      <protection hidden="1"/>
    </xf>
    <xf numFmtId="0" fontId="10" fillId="0" borderId="2" xfId="0" applyFont="1" applyBorder="1" applyAlignment="1" applyProtection="1">
      <alignment horizontal="center"/>
      <protection hidden="1"/>
    </xf>
    <xf numFmtId="0" fontId="10" fillId="0" borderId="3" xfId="0" applyFont="1" applyBorder="1" applyAlignment="1" applyProtection="1">
      <alignment horizontal="center"/>
      <protection hidden="1"/>
    </xf>
    <xf numFmtId="0" fontId="2" fillId="0" borderId="4" xfId="1" applyFont="1" applyFill="1" applyBorder="1" applyProtection="1">
      <protection hidden="1"/>
    </xf>
    <xf numFmtId="167" fontId="2" fillId="2" borderId="6" xfId="1" applyNumberFormat="1" applyFont="1" applyFill="1" applyBorder="1" applyAlignment="1" applyProtection="1">
      <alignment horizontal="center"/>
      <protection locked="0"/>
    </xf>
    <xf numFmtId="0" fontId="2" fillId="0" borderId="5" xfId="1" applyFont="1" applyFill="1" applyBorder="1" applyAlignment="1" applyProtection="1">
      <alignment horizontal="center"/>
      <protection hidden="1"/>
    </xf>
    <xf numFmtId="0" fontId="2" fillId="0" borderId="4" xfId="1" applyFont="1" applyFill="1" applyBorder="1" applyAlignment="1" applyProtection="1">
      <alignment horizontal="left" indent="1"/>
      <protection hidden="1"/>
    </xf>
    <xf numFmtId="167" fontId="2" fillId="2" borderId="51" xfId="1" applyNumberFormat="1" applyFont="1" applyFill="1" applyBorder="1" applyAlignment="1" applyProtection="1">
      <alignment horizontal="center"/>
      <protection locked="0"/>
    </xf>
    <xf numFmtId="164" fontId="2" fillId="0" borderId="4" xfId="1" applyNumberFormat="1" applyFont="1" applyFill="1" applyBorder="1" applyAlignment="1" applyProtection="1">
      <alignment horizontal="center"/>
      <protection hidden="1"/>
    </xf>
    <xf numFmtId="1" fontId="2" fillId="2" borderId="49" xfId="1" applyNumberFormat="1" applyFont="1" applyFill="1" applyBorder="1" applyAlignment="1" applyProtection="1">
      <alignment horizontal="center"/>
      <protection locked="0"/>
    </xf>
    <xf numFmtId="0" fontId="2" fillId="2" borderId="6" xfId="1" applyFont="1" applyFill="1" applyBorder="1" applyAlignment="1" applyProtection="1">
      <alignment horizontal="center"/>
      <protection locked="0"/>
    </xf>
    <xf numFmtId="0" fontId="2" fillId="0" borderId="4" xfId="1" applyFont="1" applyFill="1" applyBorder="1" applyAlignment="1" applyProtection="1">
      <alignment horizontal="center"/>
      <protection hidden="1"/>
    </xf>
    <xf numFmtId="166" fontId="2" fillId="2" borderId="6" xfId="1" applyNumberFormat="1" applyFont="1" applyFill="1" applyBorder="1" applyAlignment="1" applyProtection="1">
      <alignment horizontal="center"/>
      <protection locked="0"/>
    </xf>
    <xf numFmtId="1" fontId="2" fillId="0" borderId="4" xfId="1" applyNumberFormat="1" applyFont="1" applyFill="1" applyBorder="1" applyAlignment="1" applyProtection="1">
      <alignment horizontal="right"/>
      <protection hidden="1"/>
    </xf>
    <xf numFmtId="0" fontId="2" fillId="0" borderId="5" xfId="1" applyFont="1" applyFill="1" applyBorder="1" applyAlignment="1" applyProtection="1">
      <alignment horizontal="right"/>
      <protection hidden="1"/>
    </xf>
    <xf numFmtId="0" fontId="2" fillId="0" borderId="4" xfId="1" applyFont="1" applyFill="1" applyBorder="1" applyAlignment="1" applyProtection="1">
      <alignment horizontal="right"/>
      <protection hidden="1"/>
    </xf>
    <xf numFmtId="0" fontId="2" fillId="0" borderId="4" xfId="1" applyFont="1" applyFill="1" applyBorder="1" applyAlignment="1" applyProtection="1">
      <alignment horizontal="left"/>
      <protection hidden="1"/>
    </xf>
    <xf numFmtId="1" fontId="2" fillId="2" borderId="6" xfId="1" applyNumberFormat="1" applyFont="1" applyFill="1" applyBorder="1" applyAlignment="1" applyProtection="1">
      <alignment horizontal="center"/>
      <protection locked="0"/>
    </xf>
    <xf numFmtId="0" fontId="2" fillId="0" borderId="18" xfId="1" applyFont="1" applyFill="1" applyBorder="1" applyAlignment="1" applyProtection="1">
      <alignment horizontal="left" indent="1"/>
      <protection hidden="1"/>
    </xf>
    <xf numFmtId="0" fontId="12" fillId="0" borderId="17" xfId="1" applyFont="1" applyFill="1" applyBorder="1" applyAlignment="1" applyProtection="1">
      <alignment vertical="top" wrapText="1"/>
      <protection hidden="1"/>
    </xf>
    <xf numFmtId="0" fontId="10" fillId="0" borderId="2" xfId="0" applyFont="1" applyBorder="1" applyProtection="1">
      <protection hidden="1"/>
    </xf>
    <xf numFmtId="0" fontId="12" fillId="0" borderId="3" xfId="1" applyFont="1" applyFill="1" applyBorder="1" applyAlignment="1" applyProtection="1">
      <alignment horizontal="right"/>
      <protection hidden="1"/>
    </xf>
    <xf numFmtId="0" fontId="2" fillId="0" borderId="2" xfId="1" applyFont="1" applyFill="1" applyBorder="1" applyAlignment="1" applyProtection="1">
      <alignment horizontal="right"/>
      <protection hidden="1"/>
    </xf>
    <xf numFmtId="0" fontId="2" fillId="0" borderId="3" xfId="1" applyFont="1" applyFill="1" applyBorder="1" applyAlignment="1" applyProtection="1">
      <alignment horizontal="right"/>
      <protection hidden="1"/>
    </xf>
    <xf numFmtId="4" fontId="2" fillId="0" borderId="6" xfId="1" applyNumberFormat="1" applyFont="1" applyFill="1" applyBorder="1" applyAlignment="1" applyProtection="1">
      <alignment horizontal="right"/>
      <protection hidden="1"/>
    </xf>
    <xf numFmtId="4" fontId="2" fillId="0" borderId="51" xfId="1" applyNumberFormat="1" applyFont="1" applyFill="1" applyBorder="1" applyAlignment="1" applyProtection="1">
      <alignment horizontal="right"/>
      <protection hidden="1"/>
    </xf>
    <xf numFmtId="0" fontId="2" fillId="0" borderId="54" xfId="1" applyFont="1" applyFill="1" applyBorder="1" applyAlignment="1" applyProtection="1">
      <alignment horizontal="center"/>
      <protection hidden="1"/>
    </xf>
    <xf numFmtId="0" fontId="2" fillId="0" borderId="37" xfId="1" applyFont="1" applyFill="1" applyBorder="1" applyProtection="1">
      <protection hidden="1"/>
    </xf>
    <xf numFmtId="0" fontId="2" fillId="0" borderId="6" xfId="1" applyFont="1" applyFill="1" applyBorder="1" applyAlignment="1" applyProtection="1">
      <alignment horizontal="center" wrapText="1"/>
      <protection hidden="1"/>
    </xf>
    <xf numFmtId="0" fontId="2" fillId="0" borderId="7" xfId="1" applyFont="1" applyFill="1" applyBorder="1" applyAlignment="1" applyProtection="1">
      <alignment horizontal="center" wrapText="1"/>
      <protection hidden="1"/>
    </xf>
    <xf numFmtId="0" fontId="10" fillId="0" borderId="5" xfId="0" applyFont="1" applyBorder="1" applyProtection="1">
      <protection hidden="1"/>
    </xf>
    <xf numFmtId="3" fontId="2" fillId="0" borderId="6" xfId="1" applyNumberFormat="1" applyFont="1" applyFill="1" applyBorder="1" applyAlignment="1" applyProtection="1">
      <alignment horizontal="right"/>
      <protection hidden="1"/>
    </xf>
    <xf numFmtId="4" fontId="2" fillId="0" borderId="7" xfId="1" applyNumberFormat="1" applyFont="1" applyFill="1" applyBorder="1" applyAlignment="1" applyProtection="1">
      <alignment horizontal="right"/>
      <protection hidden="1"/>
    </xf>
    <xf numFmtId="3" fontId="2" fillId="0" borderId="6" xfId="1" applyNumberFormat="1" applyFont="1" applyFill="1" applyBorder="1" applyAlignment="1" applyProtection="1">
      <protection hidden="1"/>
    </xf>
    <xf numFmtId="3" fontId="2" fillId="0" borderId="51" xfId="1" applyNumberFormat="1" applyFont="1" applyFill="1" applyBorder="1" applyAlignment="1" applyProtection="1">
      <alignment horizontal="right"/>
      <protection hidden="1"/>
    </xf>
    <xf numFmtId="4" fontId="2" fillId="0" borderId="47" xfId="1" applyNumberFormat="1" applyFont="1" applyFill="1" applyBorder="1" applyAlignment="1" applyProtection="1">
      <alignment horizontal="right"/>
      <protection hidden="1"/>
    </xf>
    <xf numFmtId="3" fontId="2" fillId="0" borderId="52" xfId="1" applyNumberFormat="1" applyFont="1" applyFill="1" applyBorder="1" applyAlignment="1" applyProtection="1">
      <alignment horizontal="right"/>
      <protection hidden="1"/>
    </xf>
    <xf numFmtId="4" fontId="2" fillId="0" borderId="48" xfId="1" applyNumberFormat="1" applyFont="1" applyFill="1" applyBorder="1" applyAlignment="1" applyProtection="1">
      <alignment horizontal="right"/>
      <protection hidden="1"/>
    </xf>
    <xf numFmtId="3" fontId="2" fillId="0" borderId="51" xfId="1" applyNumberFormat="1" applyFont="1" applyFill="1" applyBorder="1" applyAlignment="1" applyProtection="1">
      <protection hidden="1"/>
    </xf>
    <xf numFmtId="0" fontId="2" fillId="0" borderId="1" xfId="1" applyFont="1" applyFill="1" applyBorder="1" applyProtection="1">
      <protection hidden="1"/>
    </xf>
    <xf numFmtId="3" fontId="12" fillId="0" borderId="22" xfId="1" applyNumberFormat="1" applyFont="1" applyFill="1" applyBorder="1" applyAlignment="1" applyProtection="1">
      <alignment horizontal="right"/>
      <protection hidden="1"/>
    </xf>
    <xf numFmtId="4" fontId="12" fillId="0" borderId="11" xfId="1" applyNumberFormat="1" applyFont="1" applyFill="1" applyBorder="1" applyAlignment="1" applyProtection="1">
      <alignment horizontal="right"/>
      <protection hidden="1"/>
    </xf>
    <xf numFmtId="3" fontId="12" fillId="0" borderId="1" xfId="1" applyNumberFormat="1" applyFont="1" applyFill="1" applyBorder="1" applyAlignment="1" applyProtection="1">
      <protection hidden="1"/>
    </xf>
    <xf numFmtId="0" fontId="10" fillId="0" borderId="9" xfId="0" applyFont="1" applyBorder="1" applyProtection="1">
      <protection hidden="1"/>
    </xf>
    <xf numFmtId="167" fontId="2" fillId="2" borderId="38" xfId="2" applyNumberFormat="1" applyFont="1" applyFill="1" applyBorder="1" applyAlignment="1" applyProtection="1">
      <alignment horizontal="center"/>
      <protection locked="0"/>
    </xf>
    <xf numFmtId="167" fontId="10" fillId="2" borderId="30" xfId="0" applyNumberFormat="1" applyFont="1" applyFill="1" applyBorder="1" applyAlignment="1" applyProtection="1">
      <alignment horizontal="center"/>
      <protection locked="0"/>
    </xf>
    <xf numFmtId="0" fontId="10" fillId="0" borderId="0" xfId="0" applyFont="1" applyBorder="1" applyAlignment="1" applyProtection="1">
      <alignment horizontal="center"/>
      <protection hidden="1"/>
    </xf>
    <xf numFmtId="0" fontId="10" fillId="0" borderId="5" xfId="0" applyFont="1" applyBorder="1" applyAlignment="1" applyProtection="1">
      <alignment horizontal="center"/>
      <protection hidden="1"/>
    </xf>
    <xf numFmtId="167" fontId="10" fillId="2" borderId="15" xfId="0" applyNumberFormat="1" applyFont="1" applyFill="1" applyBorder="1" applyAlignment="1" applyProtection="1">
      <alignment horizontal="center"/>
      <protection locked="0"/>
    </xf>
    <xf numFmtId="167" fontId="2" fillId="2" borderId="6" xfId="2" applyNumberFormat="1" applyFont="1" applyFill="1" applyBorder="1" applyAlignment="1" applyProtection="1">
      <alignment horizontal="center"/>
      <protection locked="0"/>
    </xf>
    <xf numFmtId="167" fontId="2" fillId="2" borderId="51" xfId="2" applyNumberFormat="1" applyFont="1" applyFill="1" applyBorder="1" applyAlignment="1" applyProtection="1">
      <alignment horizontal="center"/>
      <protection locked="0"/>
    </xf>
    <xf numFmtId="164" fontId="2" fillId="0" borderId="37" xfId="1" applyNumberFormat="1" applyFont="1" applyFill="1" applyBorder="1" applyAlignment="1" applyProtection="1">
      <protection hidden="1"/>
    </xf>
    <xf numFmtId="164" fontId="2" fillId="0" borderId="5" xfId="1" applyNumberFormat="1" applyFont="1" applyFill="1" applyBorder="1" applyAlignment="1" applyProtection="1">
      <protection hidden="1"/>
    </xf>
    <xf numFmtId="0" fontId="10" fillId="0" borderId="0" xfId="0" applyFont="1" applyFill="1" applyBorder="1" applyAlignment="1" applyProtection="1">
      <protection hidden="1"/>
    </xf>
    <xf numFmtId="0" fontId="10" fillId="0" borderId="5" xfId="0" applyFont="1" applyFill="1" applyBorder="1" applyAlignment="1" applyProtection="1">
      <protection hidden="1"/>
    </xf>
    <xf numFmtId="167" fontId="2" fillId="2" borderId="53" xfId="2" applyNumberFormat="1" applyFont="1" applyFill="1" applyBorder="1" applyAlignment="1" applyProtection="1">
      <alignment horizontal="center"/>
      <protection locked="0"/>
    </xf>
    <xf numFmtId="0" fontId="10" fillId="0" borderId="0" xfId="0" applyFont="1" applyFill="1" applyBorder="1" applyAlignment="1" applyProtection="1">
      <alignment horizontal="center"/>
      <protection hidden="1"/>
    </xf>
    <xf numFmtId="0" fontId="2" fillId="2" borderId="49" xfId="1" applyFont="1" applyFill="1" applyBorder="1" applyAlignment="1" applyProtection="1">
      <alignment horizontal="center"/>
      <protection locked="0"/>
    </xf>
    <xf numFmtId="0" fontId="10" fillId="2" borderId="15" xfId="0" applyFont="1" applyFill="1" applyBorder="1" applyAlignment="1" applyProtection="1">
      <alignment horizontal="center"/>
      <protection locked="0"/>
    </xf>
    <xf numFmtId="0" fontId="10" fillId="0" borderId="5" xfId="0" applyFont="1" applyFill="1" applyBorder="1" applyAlignment="1" applyProtection="1">
      <alignment horizontal="center"/>
      <protection hidden="1"/>
    </xf>
    <xf numFmtId="0" fontId="10" fillId="0" borderId="4" xfId="0" applyFont="1" applyBorder="1" applyAlignment="1" applyProtection="1">
      <alignment horizontal="center"/>
      <protection hidden="1"/>
    </xf>
    <xf numFmtId="0" fontId="2" fillId="0" borderId="0" xfId="1" applyFont="1" applyFill="1" applyBorder="1" applyAlignment="1" applyProtection="1">
      <alignment horizontal="center"/>
      <protection hidden="1"/>
    </xf>
    <xf numFmtId="0" fontId="2" fillId="2" borderId="51" xfId="1" applyFont="1" applyFill="1" applyBorder="1" applyAlignment="1" applyProtection="1">
      <alignment horizontal="center"/>
      <protection locked="0"/>
    </xf>
    <xf numFmtId="0" fontId="10" fillId="2" borderId="51" xfId="0" applyFont="1" applyFill="1" applyBorder="1" applyAlignment="1" applyProtection="1">
      <alignment horizontal="center"/>
      <protection locked="0"/>
    </xf>
    <xf numFmtId="0" fontId="10" fillId="2" borderId="27" xfId="0" applyFont="1" applyFill="1" applyBorder="1" applyAlignment="1" applyProtection="1">
      <alignment horizontal="center"/>
      <protection locked="0"/>
    </xf>
    <xf numFmtId="0" fontId="12" fillId="0" borderId="2" xfId="1" applyFont="1" applyFill="1" applyBorder="1" applyAlignment="1" applyProtection="1">
      <alignment vertical="top" wrapText="1"/>
      <protection hidden="1"/>
    </xf>
    <xf numFmtId="0" fontId="10" fillId="0" borderId="3" xfId="0" applyFont="1" applyBorder="1" applyProtection="1">
      <protection hidden="1"/>
    </xf>
    <xf numFmtId="0" fontId="10" fillId="0" borderId="25" xfId="0" applyFont="1" applyBorder="1" applyProtection="1">
      <protection hidden="1"/>
    </xf>
    <xf numFmtId="0" fontId="10" fillId="0" borderId="4" xfId="0" applyFont="1" applyBorder="1" applyProtection="1">
      <protection hidden="1"/>
    </xf>
    <xf numFmtId="0" fontId="10" fillId="0" borderId="0" xfId="0" applyFont="1" applyBorder="1" applyProtection="1">
      <protection hidden="1"/>
    </xf>
    <xf numFmtId="4" fontId="2" fillId="0" borderId="15" xfId="1" applyNumberFormat="1" applyFont="1" applyFill="1" applyBorder="1" applyProtection="1">
      <protection hidden="1"/>
    </xf>
    <xf numFmtId="0" fontId="2" fillId="0" borderId="37" xfId="1" applyFont="1" applyFill="1" applyBorder="1" applyAlignment="1" applyProtection="1">
      <alignment horizontal="left"/>
      <protection hidden="1"/>
    </xf>
    <xf numFmtId="0" fontId="2" fillId="0" borderId="34" xfId="1" applyFont="1" applyFill="1" applyBorder="1" applyProtection="1">
      <protection hidden="1"/>
    </xf>
    <xf numFmtId="0" fontId="2" fillId="0" borderId="12" xfId="1" applyFont="1" applyFill="1" applyBorder="1" applyProtection="1">
      <protection hidden="1"/>
    </xf>
    <xf numFmtId="0" fontId="10" fillId="0" borderId="10" xfId="0" applyFont="1" applyBorder="1" applyAlignment="1" applyProtection="1">
      <alignment horizontal="center" vertical="center" wrapText="1"/>
      <protection hidden="1"/>
    </xf>
    <xf numFmtId="0" fontId="10" fillId="0" borderId="11" xfId="0" applyFont="1" applyBorder="1" applyAlignment="1" applyProtection="1">
      <alignment horizontal="center" vertical="center" wrapText="1"/>
      <protection hidden="1"/>
    </xf>
    <xf numFmtId="167" fontId="10" fillId="2" borderId="49" xfId="0" applyNumberFormat="1" applyFont="1" applyFill="1" applyBorder="1" applyAlignment="1" applyProtection="1">
      <alignment horizontal="center" vertical="center"/>
      <protection locked="0"/>
    </xf>
    <xf numFmtId="164" fontId="10" fillId="0" borderId="5" xfId="0" applyNumberFormat="1" applyFont="1" applyFill="1" applyBorder="1" applyAlignment="1" applyProtection="1">
      <alignment horizontal="center" vertical="center"/>
      <protection hidden="1"/>
    </xf>
    <xf numFmtId="164" fontId="10" fillId="0" borderId="4" xfId="0" applyNumberFormat="1" applyFont="1" applyFill="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167" fontId="10" fillId="2" borderId="6" xfId="0" applyNumberFormat="1" applyFont="1" applyFill="1" applyBorder="1" applyAlignment="1" applyProtection="1">
      <alignment horizontal="center" vertical="center"/>
      <protection locked="0"/>
    </xf>
    <xf numFmtId="167" fontId="10" fillId="2" borderId="6" xfId="0" applyNumberFormat="1" applyFont="1" applyFill="1" applyBorder="1" applyAlignment="1" applyProtection="1">
      <alignment horizontal="center"/>
      <protection locked="0"/>
    </xf>
    <xf numFmtId="167" fontId="10" fillId="0" borderId="6" xfId="0" applyNumberFormat="1" applyFont="1" applyFill="1" applyBorder="1" applyAlignment="1" applyProtection="1">
      <alignment horizontal="center" vertical="center"/>
      <protection hidden="1"/>
    </xf>
    <xf numFmtId="167" fontId="10" fillId="0" borderId="6" xfId="0" applyNumberFormat="1" applyFont="1" applyFill="1" applyBorder="1" applyAlignment="1" applyProtection="1">
      <alignment horizontal="center"/>
      <protection hidden="1"/>
    </xf>
    <xf numFmtId="167" fontId="10" fillId="0" borderId="51" xfId="0" applyNumberFormat="1" applyFont="1" applyFill="1" applyBorder="1" applyAlignment="1" applyProtection="1">
      <alignment horizontal="center" vertical="center"/>
      <protection hidden="1"/>
    </xf>
    <xf numFmtId="167" fontId="10" fillId="0" borderId="51" xfId="0" applyNumberFormat="1" applyFont="1" applyFill="1" applyBorder="1" applyAlignment="1" applyProtection="1">
      <alignment horizontal="center"/>
      <protection hidden="1"/>
    </xf>
    <xf numFmtId="0" fontId="10" fillId="0" borderId="10" xfId="0" applyFont="1" applyFill="1" applyBorder="1" applyProtection="1">
      <protection hidden="1"/>
    </xf>
    <xf numFmtId="167" fontId="10" fillId="0" borderId="22" xfId="0" applyNumberFormat="1" applyFont="1" applyFill="1" applyBorder="1" applyAlignment="1" applyProtection="1">
      <alignment horizontal="center" vertical="center"/>
      <protection hidden="1"/>
    </xf>
    <xf numFmtId="164" fontId="10" fillId="0" borderId="11" xfId="0" applyNumberFormat="1" applyFont="1" applyFill="1" applyBorder="1" applyAlignment="1" applyProtection="1">
      <alignment horizontal="center" vertical="center"/>
      <protection hidden="1"/>
    </xf>
    <xf numFmtId="164" fontId="10" fillId="0" borderId="10" xfId="0" applyNumberFormat="1" applyFont="1" applyFill="1" applyBorder="1" applyAlignment="1" applyProtection="1">
      <alignment horizontal="center" vertical="center"/>
      <protection hidden="1"/>
    </xf>
    <xf numFmtId="0" fontId="10" fillId="0" borderId="11" xfId="0" applyFont="1" applyFill="1" applyBorder="1" applyAlignment="1" applyProtection="1">
      <alignment horizontal="center" vertical="center"/>
      <protection hidden="1"/>
    </xf>
    <xf numFmtId="0" fontId="2" fillId="0" borderId="2" xfId="1" applyFont="1" applyFill="1" applyBorder="1" applyAlignment="1" applyProtection="1">
      <protection hidden="1"/>
    </xf>
    <xf numFmtId="167" fontId="2" fillId="0" borderId="38" xfId="1" applyNumberFormat="1" applyFont="1" applyFill="1" applyBorder="1" applyAlignment="1" applyProtection="1">
      <alignment horizontal="center"/>
      <protection hidden="1"/>
    </xf>
    <xf numFmtId="167" fontId="2" fillId="2" borderId="49" xfId="1" applyNumberFormat="1" applyFont="1" applyFill="1" applyBorder="1" applyAlignment="1" applyProtection="1">
      <alignment horizontal="center"/>
      <protection locked="0"/>
    </xf>
    <xf numFmtId="166" fontId="2" fillId="0" borderId="4" xfId="1" applyNumberFormat="1" applyFont="1" applyFill="1" applyBorder="1" applyAlignment="1" applyProtection="1">
      <alignment horizontal="center"/>
      <protection hidden="1"/>
    </xf>
    <xf numFmtId="0" fontId="12" fillId="0" borderId="2" xfId="1" applyFont="1" applyFill="1" applyBorder="1" applyAlignment="1" applyProtection="1">
      <alignment wrapText="1"/>
      <protection hidden="1"/>
    </xf>
    <xf numFmtId="3" fontId="2" fillId="0" borderId="39" xfId="1" applyNumberFormat="1" applyFont="1" applyFill="1" applyBorder="1" applyAlignment="1" applyProtection="1">
      <alignment horizontal="right"/>
      <protection hidden="1"/>
    </xf>
    <xf numFmtId="3" fontId="12" fillId="0" borderId="31" xfId="1" applyNumberFormat="1" applyFont="1" applyFill="1" applyBorder="1" applyAlignment="1" applyProtection="1">
      <alignment horizontal="right"/>
      <protection hidden="1"/>
    </xf>
    <xf numFmtId="4" fontId="12" fillId="0" borderId="23" xfId="1" applyNumberFormat="1" applyFont="1" applyFill="1" applyBorder="1" applyAlignment="1" applyProtection="1">
      <alignment horizontal="right"/>
      <protection hidden="1"/>
    </xf>
    <xf numFmtId="0" fontId="2" fillId="0" borderId="17" xfId="1" applyFont="1" applyFill="1" applyBorder="1" applyProtection="1">
      <protection hidden="1"/>
    </xf>
    <xf numFmtId="0" fontId="2" fillId="0" borderId="18" xfId="1" applyFont="1" applyFill="1" applyBorder="1" applyProtection="1">
      <protection hidden="1"/>
    </xf>
    <xf numFmtId="167" fontId="2" fillId="0" borderId="49" xfId="2" applyNumberFormat="1" applyFont="1" applyFill="1" applyBorder="1" applyAlignment="1" applyProtection="1">
      <alignment horizontal="center"/>
      <protection hidden="1"/>
    </xf>
    <xf numFmtId="0" fontId="2" fillId="0" borderId="18" xfId="1" applyFont="1" applyFill="1" applyBorder="1" applyAlignment="1" applyProtection="1">
      <protection hidden="1"/>
    </xf>
    <xf numFmtId="0" fontId="2" fillId="0" borderId="18" xfId="1" applyFont="1" applyFill="1" applyBorder="1" applyAlignment="1" applyProtection="1">
      <alignment horizontal="left"/>
      <protection hidden="1"/>
    </xf>
    <xf numFmtId="0" fontId="12" fillId="0" borderId="17" xfId="1" applyFont="1" applyFill="1" applyBorder="1" applyAlignment="1" applyProtection="1">
      <alignment wrapText="1"/>
      <protection hidden="1"/>
    </xf>
    <xf numFmtId="0" fontId="10" fillId="0" borderId="18" xfId="0" applyFont="1" applyBorder="1" applyProtection="1">
      <protection hidden="1"/>
    </xf>
    <xf numFmtId="0" fontId="2" fillId="0" borderId="32" xfId="1" applyFont="1" applyFill="1" applyBorder="1" applyAlignment="1" applyProtection="1">
      <alignment horizontal="left"/>
      <protection hidden="1"/>
    </xf>
    <xf numFmtId="0" fontId="2" fillId="0" borderId="46" xfId="1" applyFont="1" applyFill="1" applyBorder="1" applyProtection="1">
      <protection hidden="1"/>
    </xf>
    <xf numFmtId="0" fontId="2" fillId="0" borderId="19" xfId="1" applyFont="1" applyFill="1" applyBorder="1" applyProtection="1">
      <protection hidden="1"/>
    </xf>
    <xf numFmtId="0" fontId="16" fillId="0" borderId="0" xfId="0" applyFont="1" applyProtection="1">
      <protection hidden="1"/>
    </xf>
    <xf numFmtId="0" fontId="10" fillId="0" borderId="10" xfId="0" applyFont="1" applyBorder="1" applyProtection="1">
      <protection hidden="1"/>
    </xf>
    <xf numFmtId="0" fontId="10" fillId="0" borderId="0" xfId="0" applyFont="1" applyProtection="1">
      <protection hidden="1"/>
    </xf>
    <xf numFmtId="0" fontId="11" fillId="0" borderId="1" xfId="0" applyFont="1" applyBorder="1" applyAlignment="1" applyProtection="1">
      <alignment horizontal="center" vertical="center"/>
      <protection hidden="1"/>
    </xf>
    <xf numFmtId="0" fontId="10" fillId="0" borderId="13" xfId="0" applyFont="1" applyBorder="1" applyAlignment="1" applyProtection="1">
      <alignment horizontal="center" vertical="center"/>
      <protection hidden="1"/>
    </xf>
    <xf numFmtId="0" fontId="10" fillId="0" borderId="11" xfId="0" applyFont="1" applyBorder="1" applyAlignment="1" applyProtection="1">
      <alignment horizontal="center" vertical="center"/>
      <protection hidden="1"/>
    </xf>
    <xf numFmtId="0" fontId="10" fillId="0" borderId="1" xfId="0" applyFont="1" applyBorder="1" applyAlignment="1" applyProtection="1">
      <alignment vertical="center"/>
      <protection hidden="1"/>
    </xf>
    <xf numFmtId="164" fontId="10" fillId="0" borderId="14" xfId="0" applyNumberFormat="1" applyFont="1" applyFill="1" applyBorder="1" applyAlignment="1" applyProtection="1">
      <alignment horizontal="center" vertical="center"/>
      <protection hidden="1"/>
    </xf>
    <xf numFmtId="0" fontId="10" fillId="0" borderId="1" xfId="0" applyFont="1" applyBorder="1" applyAlignment="1" applyProtection="1">
      <alignment horizontal="center" vertical="center"/>
      <protection hidden="1"/>
    </xf>
    <xf numFmtId="164" fontId="10" fillId="0" borderId="20" xfId="0" applyNumberFormat="1" applyFont="1" applyFill="1" applyBorder="1" applyAlignment="1" applyProtection="1">
      <alignment horizontal="center" vertical="center"/>
      <protection hidden="1"/>
    </xf>
    <xf numFmtId="165" fontId="10" fillId="0" borderId="32" xfId="0" applyNumberFormat="1" applyFont="1" applyFill="1" applyBorder="1" applyAlignment="1" applyProtection="1">
      <alignment horizontal="center" vertical="center"/>
      <protection hidden="1"/>
    </xf>
    <xf numFmtId="164" fontId="10" fillId="0" borderId="15" xfId="0" applyNumberFormat="1" applyFont="1" applyFill="1" applyBorder="1" applyAlignment="1" applyProtection="1">
      <alignment horizontal="center" vertical="center"/>
      <protection hidden="1"/>
    </xf>
    <xf numFmtId="164" fontId="10" fillId="0" borderId="32" xfId="0" applyNumberFormat="1" applyFont="1" applyFill="1" applyBorder="1" applyAlignment="1" applyProtection="1">
      <alignment horizontal="center" vertical="center"/>
      <protection hidden="1"/>
    </xf>
    <xf numFmtId="0" fontId="10" fillId="0" borderId="12" xfId="0" applyFont="1" applyBorder="1" applyProtection="1">
      <protection hidden="1"/>
    </xf>
    <xf numFmtId="164" fontId="10" fillId="0" borderId="16" xfId="0" applyNumberFormat="1" applyFont="1" applyFill="1" applyBorder="1" applyAlignment="1" applyProtection="1">
      <alignment horizontal="center" vertical="center"/>
      <protection hidden="1"/>
    </xf>
    <xf numFmtId="0" fontId="10" fillId="0" borderId="9" xfId="0" applyFont="1" applyBorder="1" applyAlignment="1" applyProtection="1">
      <alignment horizontal="center" vertical="center"/>
      <protection hidden="1"/>
    </xf>
    <xf numFmtId="0" fontId="10" fillId="0" borderId="46" xfId="0" applyFont="1" applyFill="1" applyBorder="1" applyAlignment="1" applyProtection="1">
      <alignment horizontal="center" vertical="center"/>
      <protection hidden="1"/>
    </xf>
    <xf numFmtId="164" fontId="10" fillId="0" borderId="27" xfId="0" applyNumberFormat="1" applyFont="1" applyFill="1" applyBorder="1" applyAlignment="1" applyProtection="1">
      <alignment horizontal="center" vertical="center"/>
      <protection hidden="1"/>
    </xf>
    <xf numFmtId="164" fontId="10" fillId="0" borderId="43" xfId="0" applyNumberFormat="1" applyFont="1" applyFill="1" applyBorder="1" applyAlignment="1" applyProtection="1">
      <alignment horizontal="center" vertical="center"/>
      <protection hidden="1"/>
    </xf>
    <xf numFmtId="0" fontId="10" fillId="0" borderId="0" xfId="0" applyFont="1" applyFill="1" applyProtection="1">
      <protection hidden="1"/>
    </xf>
    <xf numFmtId="0" fontId="10" fillId="0" borderId="13" xfId="0" applyFont="1" applyBorder="1" applyAlignment="1" applyProtection="1">
      <alignment horizontal="center" vertical="center"/>
      <protection hidden="1"/>
    </xf>
    <xf numFmtId="0" fontId="10" fillId="0" borderId="11" xfId="0" applyFont="1" applyBorder="1" applyAlignment="1" applyProtection="1">
      <alignment horizontal="center" vertical="center"/>
      <protection hidden="1"/>
    </xf>
    <xf numFmtId="167" fontId="10" fillId="2" borderId="20" xfId="0" applyNumberFormat="1" applyFont="1" applyFill="1" applyBorder="1" applyAlignment="1" applyProtection="1">
      <alignment horizontal="center" vertical="center"/>
      <protection locked="0"/>
    </xf>
    <xf numFmtId="167" fontId="10" fillId="2" borderId="32" xfId="0" applyNumberFormat="1" applyFont="1" applyFill="1" applyBorder="1" applyAlignment="1" applyProtection="1">
      <alignment horizontal="center" vertical="center"/>
      <protection locked="0"/>
    </xf>
    <xf numFmtId="167" fontId="10" fillId="2" borderId="46" xfId="0" applyNumberFormat="1" applyFont="1" applyFill="1" applyBorder="1" applyAlignment="1" applyProtection="1">
      <alignment horizontal="center" vertical="center"/>
      <protection locked="0"/>
    </xf>
    <xf numFmtId="167" fontId="10" fillId="2" borderId="43" xfId="0" applyNumberFormat="1" applyFont="1" applyFill="1" applyBorder="1" applyAlignment="1" applyProtection="1">
      <alignment horizontal="center" vertical="center"/>
      <protection locked="0"/>
    </xf>
    <xf numFmtId="167" fontId="10" fillId="0" borderId="14" xfId="0" applyNumberFormat="1" applyFont="1" applyFill="1" applyBorder="1" applyAlignment="1" applyProtection="1">
      <alignment horizontal="center" vertical="center"/>
      <protection hidden="1"/>
    </xf>
    <xf numFmtId="167" fontId="10" fillId="0" borderId="15" xfId="0" applyNumberFormat="1" applyFont="1" applyFill="1" applyBorder="1" applyAlignment="1" applyProtection="1">
      <alignment horizontal="center" vertical="center"/>
      <protection hidden="1"/>
    </xf>
    <xf numFmtId="167" fontId="10" fillId="0" borderId="27" xfId="0" applyNumberFormat="1" applyFont="1" applyFill="1" applyBorder="1" applyAlignment="1" applyProtection="1">
      <alignment horizontal="center" vertical="center"/>
      <protection hidden="1"/>
    </xf>
    <xf numFmtId="167" fontId="10" fillId="0" borderId="16" xfId="0" applyNumberFormat="1" applyFont="1" applyFill="1" applyBorder="1" applyAlignment="1" applyProtection="1">
      <alignment horizontal="center" vertical="center"/>
      <protection hidden="1"/>
    </xf>
    <xf numFmtId="164" fontId="10" fillId="0" borderId="0" xfId="0" applyNumberFormat="1" applyFont="1" applyFill="1" applyBorder="1" applyAlignment="1" applyProtection="1">
      <alignment horizontal="center" vertical="center"/>
      <protection hidden="1"/>
    </xf>
    <xf numFmtId="0" fontId="10" fillId="0" borderId="0" xfId="0" applyFont="1" applyFill="1" applyBorder="1" applyProtection="1">
      <protection hidden="1"/>
    </xf>
    <xf numFmtId="164" fontId="10" fillId="0" borderId="0"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hidden="1"/>
    </xf>
    <xf numFmtId="167" fontId="10" fillId="0" borderId="55" xfId="0" applyNumberFormat="1" applyFont="1" applyFill="1" applyBorder="1" applyAlignment="1" applyProtection="1">
      <alignment horizontal="center" vertical="center"/>
      <protection hidden="1"/>
    </xf>
    <xf numFmtId="0" fontId="7" fillId="0" borderId="0" xfId="0" applyFont="1" applyAlignment="1">
      <alignment horizontal="right" vertical="top" wrapText="1"/>
    </xf>
    <xf numFmtId="0" fontId="7" fillId="0" borderId="0" xfId="0" applyFont="1" applyAlignment="1">
      <alignment horizontal="right" vertical="top"/>
    </xf>
    <xf numFmtId="0" fontId="10" fillId="0" borderId="0" xfId="0" applyFont="1" applyAlignment="1">
      <alignment horizontal="left" vertical="top" wrapText="1"/>
    </xf>
    <xf numFmtId="0" fontId="2" fillId="2" borderId="10" xfId="1" applyFont="1" applyFill="1" applyBorder="1" applyAlignment="1" applyProtection="1">
      <alignment horizontal="left" vertical="center" wrapText="1"/>
      <protection locked="0" hidden="1"/>
    </xf>
    <xf numFmtId="0" fontId="2" fillId="2" borderId="13" xfId="1" applyFont="1" applyFill="1" applyBorder="1" applyAlignment="1" applyProtection="1">
      <alignment horizontal="left" vertical="center" wrapText="1"/>
      <protection locked="0" hidden="1"/>
    </xf>
    <xf numFmtId="0" fontId="2" fillId="2" borderId="11" xfId="1" applyFont="1" applyFill="1" applyBorder="1" applyAlignment="1" applyProtection="1">
      <alignment horizontal="left" vertical="center" wrapText="1"/>
      <protection locked="0" hidden="1"/>
    </xf>
    <xf numFmtId="0" fontId="10" fillId="0" borderId="25" xfId="0" applyFont="1" applyBorder="1" applyAlignment="1" applyProtection="1">
      <alignment horizontal="left" vertical="top" wrapText="1"/>
      <protection hidden="1"/>
    </xf>
    <xf numFmtId="0" fontId="10" fillId="0" borderId="0" xfId="0" applyFont="1" applyBorder="1" applyAlignment="1" applyProtection="1">
      <alignment horizontal="left" vertical="top" wrapText="1"/>
      <protection hidden="1"/>
    </xf>
    <xf numFmtId="0" fontId="10" fillId="0" borderId="17" xfId="0" applyFont="1" applyBorder="1" applyAlignment="1" applyProtection="1">
      <alignment horizontal="left"/>
      <protection hidden="1"/>
    </xf>
    <xf numFmtId="0" fontId="10" fillId="0" borderId="18" xfId="0" applyFont="1" applyBorder="1" applyAlignment="1" applyProtection="1">
      <alignment horizontal="left"/>
      <protection hidden="1"/>
    </xf>
    <xf numFmtId="0" fontId="10" fillId="0" borderId="19" xfId="0" applyFont="1" applyBorder="1" applyAlignment="1" applyProtection="1">
      <alignment horizontal="left"/>
      <protection hidden="1"/>
    </xf>
    <xf numFmtId="0" fontId="6" fillId="0" borderId="40" xfId="0" applyFont="1" applyBorder="1" applyAlignment="1" applyProtection="1">
      <alignment horizontal="center"/>
      <protection hidden="1"/>
    </xf>
    <xf numFmtId="0" fontId="6" fillId="0" borderId="41" xfId="0" applyFont="1" applyBorder="1" applyAlignment="1" applyProtection="1">
      <alignment horizontal="center"/>
      <protection hidden="1"/>
    </xf>
    <xf numFmtId="0" fontId="6" fillId="0" borderId="42" xfId="0" applyFont="1" applyBorder="1" applyAlignment="1" applyProtection="1">
      <alignment horizontal="center"/>
      <protection hidden="1"/>
    </xf>
    <xf numFmtId="0" fontId="12" fillId="0" borderId="10" xfId="1" applyFont="1" applyFill="1" applyBorder="1" applyAlignment="1" applyProtection="1">
      <alignment horizontal="center"/>
      <protection hidden="1"/>
    </xf>
    <xf numFmtId="0" fontId="12" fillId="0" borderId="11" xfId="1" applyFont="1" applyFill="1" applyBorder="1" applyAlignment="1" applyProtection="1">
      <alignment horizontal="center"/>
      <protection hidden="1"/>
    </xf>
    <xf numFmtId="0" fontId="3" fillId="0" borderId="34" xfId="1" applyFont="1" applyFill="1" applyBorder="1" applyAlignment="1" applyProtection="1">
      <alignment horizontal="left" vertical="center" wrapText="1"/>
      <protection hidden="1"/>
    </xf>
    <xf numFmtId="0" fontId="3" fillId="0" borderId="36" xfId="1" applyFont="1" applyFill="1" applyBorder="1" applyAlignment="1" applyProtection="1">
      <alignment horizontal="left" vertical="center" wrapText="1"/>
      <protection hidden="1"/>
    </xf>
    <xf numFmtId="0" fontId="3" fillId="0" borderId="35" xfId="1" applyFont="1" applyFill="1" applyBorder="1" applyAlignment="1" applyProtection="1">
      <alignment horizontal="left" vertical="center" wrapText="1"/>
      <protection hidden="1"/>
    </xf>
    <xf numFmtId="1" fontId="2" fillId="2" borderId="37" xfId="1" applyNumberFormat="1" applyFont="1" applyFill="1" applyBorder="1" applyAlignment="1" applyProtection="1">
      <alignment horizontal="center"/>
      <protection locked="0"/>
    </xf>
    <xf numFmtId="1" fontId="2" fillId="2" borderId="24" xfId="1" applyNumberFormat="1" applyFont="1" applyFill="1" applyBorder="1" applyAlignment="1" applyProtection="1">
      <alignment horizontal="center"/>
      <protection locked="0"/>
    </xf>
    <xf numFmtId="0" fontId="10" fillId="0" borderId="13" xfId="0" applyFont="1" applyBorder="1" applyAlignment="1" applyProtection="1">
      <alignment horizontal="center"/>
      <protection hidden="1"/>
    </xf>
    <xf numFmtId="0" fontId="10" fillId="0" borderId="11"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1" fillId="0" borderId="10" xfId="0" applyFont="1" applyBorder="1" applyAlignment="1" applyProtection="1">
      <alignment horizontal="center"/>
      <protection hidden="1"/>
    </xf>
    <xf numFmtId="0" fontId="11" fillId="0" borderId="11" xfId="0" applyFont="1" applyBorder="1" applyAlignment="1" applyProtection="1">
      <alignment horizontal="center"/>
      <protection hidden="1"/>
    </xf>
    <xf numFmtId="164" fontId="2" fillId="2" borderId="37" xfId="2" applyNumberFormat="1" applyFont="1" applyFill="1" applyBorder="1" applyAlignment="1" applyProtection="1">
      <alignment horizontal="center"/>
      <protection locked="0"/>
    </xf>
    <xf numFmtId="164" fontId="2" fillId="2" borderId="24" xfId="2" applyNumberFormat="1" applyFont="1" applyFill="1" applyBorder="1" applyAlignment="1" applyProtection="1">
      <alignment horizontal="center"/>
      <protection locked="0"/>
    </xf>
    <xf numFmtId="164" fontId="2" fillId="2" borderId="6" xfId="2" applyNumberFormat="1" applyFont="1" applyFill="1" applyBorder="1" applyAlignment="1" applyProtection="1">
      <alignment horizontal="center"/>
      <protection locked="0"/>
    </xf>
    <xf numFmtId="164" fontId="2" fillId="2" borderId="7" xfId="2" applyNumberFormat="1" applyFont="1" applyFill="1" applyBorder="1" applyAlignment="1" applyProtection="1">
      <alignment horizontal="center"/>
      <protection locked="0"/>
    </xf>
    <xf numFmtId="0" fontId="2" fillId="0" borderId="37" xfId="1" applyFont="1" applyFill="1" applyBorder="1" applyAlignment="1" applyProtection="1">
      <alignment horizontal="center"/>
      <protection hidden="1"/>
    </xf>
    <xf numFmtId="0" fontId="2" fillId="0" borderId="24" xfId="1" applyFont="1" applyFill="1" applyBorder="1" applyAlignment="1" applyProtection="1">
      <alignment horizontal="center"/>
      <protection hidden="1"/>
    </xf>
    <xf numFmtId="0" fontId="2" fillId="0" borderId="50" xfId="1" applyFont="1" applyFill="1" applyBorder="1" applyAlignment="1" applyProtection="1">
      <alignment horizontal="center"/>
      <protection hidden="1"/>
    </xf>
    <xf numFmtId="4" fontId="2" fillId="0" borderId="6" xfId="1" applyNumberFormat="1" applyFont="1" applyFill="1" applyBorder="1" applyAlignment="1" applyProtection="1">
      <alignment horizontal="center"/>
      <protection hidden="1"/>
    </xf>
    <xf numFmtId="4" fontId="2" fillId="0" borderId="7" xfId="1" applyNumberFormat="1" applyFont="1" applyFill="1" applyBorder="1" applyAlignment="1" applyProtection="1">
      <alignment horizontal="center"/>
      <protection hidden="1"/>
    </xf>
    <xf numFmtId="4" fontId="10" fillId="0" borderId="50" xfId="0" applyNumberFormat="1" applyFont="1" applyFill="1" applyBorder="1" applyAlignment="1" applyProtection="1">
      <alignment horizontal="center"/>
      <protection hidden="1"/>
    </xf>
    <xf numFmtId="4" fontId="10" fillId="0" borderId="24" xfId="0" applyNumberFormat="1" applyFont="1" applyFill="1" applyBorder="1" applyAlignment="1" applyProtection="1">
      <alignment horizontal="center"/>
      <protection hidden="1"/>
    </xf>
    <xf numFmtId="4" fontId="10" fillId="0" borderId="26" xfId="0" applyNumberFormat="1" applyFont="1" applyFill="1" applyBorder="1" applyAlignment="1" applyProtection="1">
      <alignment horizontal="center"/>
      <protection hidden="1"/>
    </xf>
    <xf numFmtId="4" fontId="10" fillId="0" borderId="21" xfId="0" applyNumberFormat="1" applyFont="1" applyFill="1" applyBorder="1" applyAlignment="1" applyProtection="1">
      <alignment horizontal="center"/>
      <protection hidden="1"/>
    </xf>
    <xf numFmtId="4" fontId="2" fillId="0" borderId="37" xfId="1" applyNumberFormat="1" applyFont="1" applyFill="1" applyBorder="1" applyAlignment="1" applyProtection="1">
      <alignment horizontal="center"/>
      <protection hidden="1"/>
    </xf>
    <xf numFmtId="4" fontId="2" fillId="0" borderId="24" xfId="1" applyNumberFormat="1" applyFont="1" applyFill="1" applyBorder="1" applyAlignment="1" applyProtection="1">
      <alignment horizontal="center"/>
      <protection hidden="1"/>
    </xf>
    <xf numFmtId="4" fontId="2" fillId="0" borderId="39" xfId="1" applyNumberFormat="1" applyFont="1" applyFill="1" applyBorder="1" applyAlignment="1" applyProtection="1">
      <alignment horizontal="center"/>
      <protection hidden="1"/>
    </xf>
    <xf numFmtId="4" fontId="2" fillId="0" borderId="8" xfId="1" applyNumberFormat="1" applyFont="1" applyFill="1" applyBorder="1" applyAlignment="1" applyProtection="1">
      <alignment horizontal="center"/>
      <protection hidden="1"/>
    </xf>
    <xf numFmtId="4" fontId="2" fillId="0" borderId="28" xfId="1" applyNumberFormat="1" applyFont="1" applyFill="1" applyBorder="1" applyAlignment="1" applyProtection="1">
      <alignment horizontal="center"/>
      <protection hidden="1"/>
    </xf>
    <xf numFmtId="4" fontId="2" fillId="0" borderId="29" xfId="1" applyNumberFormat="1" applyFont="1" applyFill="1" applyBorder="1" applyAlignment="1" applyProtection="1">
      <alignment horizontal="center"/>
      <protection hidden="1"/>
    </xf>
    <xf numFmtId="4" fontId="10" fillId="0" borderId="33" xfId="0" applyNumberFormat="1" applyFont="1" applyFill="1" applyBorder="1" applyAlignment="1" applyProtection="1">
      <alignment horizontal="center"/>
      <protection hidden="1"/>
    </xf>
    <xf numFmtId="4" fontId="10" fillId="0" borderId="9" xfId="0" applyNumberFormat="1" applyFont="1" applyFill="1" applyBorder="1" applyAlignment="1" applyProtection="1">
      <alignment horizontal="center"/>
      <protection hidden="1"/>
    </xf>
    <xf numFmtId="0" fontId="11" fillId="0" borderId="12" xfId="0" applyFont="1" applyBorder="1" applyAlignment="1" applyProtection="1">
      <alignment horizontal="center"/>
      <protection hidden="1"/>
    </xf>
    <xf numFmtId="0" fontId="11" fillId="0" borderId="9" xfId="0" applyFont="1" applyBorder="1" applyAlignment="1" applyProtection="1">
      <alignment horizontal="center"/>
      <protection hidden="1"/>
    </xf>
    <xf numFmtId="0" fontId="15" fillId="0" borderId="12" xfId="0" applyFont="1" applyBorder="1" applyAlignment="1" applyProtection="1">
      <alignment horizontal="left" vertical="center" wrapText="1"/>
      <protection hidden="1"/>
    </xf>
    <xf numFmtId="0" fontId="15" fillId="0" borderId="33" xfId="0" applyFont="1" applyBorder="1" applyAlignment="1" applyProtection="1">
      <alignment horizontal="left" vertical="center" wrapText="1"/>
      <protection hidden="1"/>
    </xf>
    <xf numFmtId="0" fontId="15" fillId="0" borderId="9" xfId="0" applyFont="1" applyBorder="1" applyAlignment="1" applyProtection="1">
      <alignment horizontal="left" vertical="center" wrapText="1"/>
      <protection hidden="1"/>
    </xf>
    <xf numFmtId="0" fontId="10" fillId="0" borderId="4" xfId="0" applyFont="1" applyBorder="1" applyAlignment="1" applyProtection="1">
      <alignment horizontal="left"/>
      <protection hidden="1"/>
    </xf>
    <xf numFmtId="0" fontId="10" fillId="0" borderId="12" xfId="0" applyFont="1" applyBorder="1" applyAlignment="1" applyProtection="1">
      <alignment horizontal="left"/>
      <protection hidden="1"/>
    </xf>
    <xf numFmtId="0" fontId="11" fillId="0" borderId="12" xfId="0" applyFont="1" applyBorder="1" applyAlignment="1" applyProtection="1">
      <alignment horizontal="center" vertical="center" wrapText="1"/>
      <protection hidden="1"/>
    </xf>
    <xf numFmtId="0" fontId="11" fillId="0" borderId="9" xfId="0"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10" fillId="2" borderId="10" xfId="0" applyFont="1" applyFill="1" applyBorder="1" applyAlignment="1" applyProtection="1">
      <alignment horizontal="left" vertical="center" wrapText="1"/>
      <protection locked="0" hidden="1"/>
    </xf>
    <xf numFmtId="0" fontId="10" fillId="2" borderId="13" xfId="0" applyFont="1" applyFill="1" applyBorder="1" applyAlignment="1" applyProtection="1">
      <alignment horizontal="left" vertical="center" wrapText="1"/>
      <protection locked="0" hidden="1"/>
    </xf>
    <xf numFmtId="0" fontId="10" fillId="2" borderId="11" xfId="0" applyFont="1" applyFill="1" applyBorder="1" applyAlignment="1" applyProtection="1">
      <alignment horizontal="left" vertical="center" wrapText="1"/>
      <protection locked="0" hidden="1"/>
    </xf>
    <xf numFmtId="0" fontId="3" fillId="0" borderId="28" xfId="1" applyFont="1" applyFill="1" applyBorder="1" applyAlignment="1" applyProtection="1">
      <alignment horizontal="left" vertical="center" wrapText="1"/>
      <protection hidden="1"/>
    </xf>
    <xf numFmtId="0" fontId="3" fillId="0" borderId="45" xfId="1" applyFont="1" applyFill="1" applyBorder="1" applyAlignment="1" applyProtection="1">
      <alignment horizontal="left" vertical="center" wrapText="1"/>
      <protection hidden="1"/>
    </xf>
    <xf numFmtId="0" fontId="3" fillId="0" borderId="29" xfId="1" applyFont="1" applyFill="1" applyBorder="1" applyAlignment="1" applyProtection="1">
      <alignment horizontal="left" vertical="center" wrapText="1"/>
      <protection hidden="1"/>
    </xf>
    <xf numFmtId="1" fontId="2" fillId="2" borderId="6" xfId="1" applyNumberFormat="1" applyFont="1" applyFill="1" applyBorder="1" applyAlignment="1" applyProtection="1">
      <alignment horizontal="center"/>
      <protection locked="0"/>
    </xf>
    <xf numFmtId="1" fontId="2" fillId="2" borderId="7" xfId="1" applyNumberFormat="1" applyFont="1" applyFill="1" applyBorder="1" applyAlignment="1" applyProtection="1">
      <alignment horizontal="center"/>
      <protection locked="0"/>
    </xf>
    <xf numFmtId="0" fontId="10" fillId="0" borderId="2" xfId="0" applyFont="1" applyBorder="1" applyAlignment="1" applyProtection="1">
      <alignment horizontal="center"/>
      <protection hidden="1"/>
    </xf>
    <xf numFmtId="0" fontId="10" fillId="0" borderId="3" xfId="0" applyFont="1" applyBorder="1" applyAlignment="1" applyProtection="1">
      <alignment horizontal="center"/>
      <protection hidden="1"/>
    </xf>
    <xf numFmtId="0" fontId="10" fillId="0" borderId="12" xfId="0" applyFont="1" applyBorder="1" applyAlignment="1" applyProtection="1">
      <alignment horizontal="center"/>
      <protection hidden="1"/>
    </xf>
    <xf numFmtId="0" fontId="10" fillId="0" borderId="9" xfId="0" applyFont="1" applyBorder="1" applyAlignment="1" applyProtection="1">
      <alignment horizontal="center"/>
      <protection hidden="1"/>
    </xf>
    <xf numFmtId="0" fontId="10" fillId="0" borderId="17" xfId="0" applyFont="1" applyBorder="1" applyAlignment="1" applyProtection="1">
      <alignment horizontal="center" vertical="center" wrapText="1"/>
      <protection hidden="1"/>
    </xf>
    <xf numFmtId="0" fontId="10" fillId="0" borderId="19" xfId="0" applyFont="1" applyBorder="1" applyAlignment="1" applyProtection="1">
      <alignment horizontal="center" vertical="center" wrapText="1"/>
      <protection hidden="1"/>
    </xf>
    <xf numFmtId="0" fontId="10" fillId="0" borderId="20" xfId="0" applyFont="1" applyBorder="1" applyAlignment="1" applyProtection="1">
      <alignment horizontal="left"/>
      <protection hidden="1"/>
    </xf>
    <xf numFmtId="0" fontId="15" fillId="0" borderId="28" xfId="0" applyFont="1" applyBorder="1" applyAlignment="1" applyProtection="1">
      <alignment horizontal="left" vertical="center" wrapText="1"/>
      <protection hidden="1"/>
    </xf>
    <xf numFmtId="0" fontId="15" fillId="0" borderId="45" xfId="0" applyFont="1" applyBorder="1" applyAlignment="1" applyProtection="1">
      <alignment horizontal="left" vertical="center" wrapText="1"/>
      <protection hidden="1"/>
    </xf>
    <xf numFmtId="0" fontId="15" fillId="0" borderId="29" xfId="0" applyFont="1" applyBorder="1" applyAlignment="1" applyProtection="1">
      <alignment horizontal="left" vertical="center" wrapText="1"/>
      <protection hidden="1"/>
    </xf>
    <xf numFmtId="167" fontId="10" fillId="2" borderId="44" xfId="0" applyNumberFormat="1" applyFont="1" applyFill="1" applyBorder="1" applyAlignment="1" applyProtection="1">
      <alignment horizontal="center" vertical="center"/>
      <protection locked="0"/>
    </xf>
    <xf numFmtId="167" fontId="10" fillId="2" borderId="13" xfId="0" applyNumberFormat="1" applyFont="1" applyFill="1" applyBorder="1" applyAlignment="1" applyProtection="1">
      <alignment horizontal="center" vertical="center"/>
      <protection locked="0"/>
    </xf>
    <xf numFmtId="167" fontId="10" fillId="2" borderId="11" xfId="0" applyNumberFormat="1" applyFont="1" applyFill="1" applyBorder="1" applyAlignment="1" applyProtection="1">
      <alignment horizontal="center" vertical="center"/>
      <protection locked="0"/>
    </xf>
    <xf numFmtId="0" fontId="10" fillId="0" borderId="17" xfId="0" applyFont="1" applyBorder="1" applyAlignment="1" applyProtection="1">
      <alignment horizontal="left" wrapText="1"/>
      <protection hidden="1"/>
    </xf>
    <xf numFmtId="0" fontId="10" fillId="0" borderId="19" xfId="0" applyFont="1" applyBorder="1" applyAlignment="1" applyProtection="1">
      <alignment horizontal="left" wrapText="1"/>
      <protection hidden="1"/>
    </xf>
    <xf numFmtId="0" fontId="10" fillId="0" borderId="17" xfId="0" applyFont="1" applyBorder="1" applyAlignment="1" applyProtection="1">
      <alignment horizontal="center" wrapText="1"/>
      <protection hidden="1"/>
    </xf>
    <xf numFmtId="0" fontId="10" fillId="0" borderId="19" xfId="0" applyFont="1" applyBorder="1" applyAlignment="1" applyProtection="1">
      <alignment horizontal="center" wrapText="1"/>
      <protection hidden="1"/>
    </xf>
    <xf numFmtId="0" fontId="10" fillId="0" borderId="13" xfId="0" applyFont="1" applyBorder="1" applyAlignment="1" applyProtection="1">
      <alignment horizontal="center" vertical="center"/>
      <protection hidden="1"/>
    </xf>
    <xf numFmtId="0" fontId="10" fillId="0" borderId="11" xfId="0" applyFont="1" applyBorder="1" applyAlignment="1" applyProtection="1">
      <alignment horizontal="center" vertical="center"/>
      <protection hidden="1"/>
    </xf>
  </cellXfs>
  <cellStyles count="3">
    <cellStyle name="Comma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3</xdr:col>
      <xdr:colOff>49530</xdr:colOff>
      <xdr:row>0</xdr:row>
      <xdr:rowOff>770060</xdr:rowOff>
    </xdr:to>
    <xdr:pic>
      <xdr:nvPicPr>
        <xdr:cNvPr id="2" name="Picture 1" descr="Minnesota Pollution Control Agency (MPCA), 520 Lafayette Road North, St. Paul, MN 55155-4194" title="Image of MPCA logo with St. Paul office address">
          <a:extLst>
            <a:ext uri="{FF2B5EF4-FFF2-40B4-BE49-F238E27FC236}">
              <a16:creationId xmlns:a16="http://schemas.microsoft.com/office/drawing/2014/main" id="{3B2F9A5C-65AA-4961-9B79-6CB2ACE45B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85725"/>
          <a:ext cx="2392680" cy="68433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26"/>
  <sheetViews>
    <sheetView tabSelected="1" zoomScaleNormal="100" workbookViewId="0">
      <selection activeCell="A2" sqref="A2:M2"/>
    </sheetView>
  </sheetViews>
  <sheetFormatPr defaultRowHeight="15" x14ac:dyDescent="0.25"/>
  <cols>
    <col min="1" max="1" width="11.7109375" customWidth="1"/>
    <col min="2" max="2" width="5.140625" customWidth="1"/>
    <col min="3" max="3" width="19.140625" bestFit="1" customWidth="1"/>
    <col min="4" max="4" width="9.140625" customWidth="1"/>
    <col min="7" max="7" width="9.140625" customWidth="1"/>
    <col min="8" max="8" width="5.140625" customWidth="1"/>
    <col min="12" max="12" width="0" hidden="1" customWidth="1"/>
  </cols>
  <sheetData>
    <row r="1" spans="1:20" ht="82.5" customHeight="1" x14ac:dyDescent="0.25">
      <c r="A1" s="173" t="s">
        <v>178</v>
      </c>
      <c r="B1" s="174"/>
      <c r="C1" s="174"/>
      <c r="D1" s="174"/>
      <c r="E1" s="174"/>
      <c r="F1" s="174"/>
      <c r="G1" s="174"/>
      <c r="H1" s="174"/>
      <c r="I1" s="174"/>
      <c r="J1" s="174"/>
      <c r="K1" s="174"/>
      <c r="L1" s="174"/>
      <c r="M1" s="174"/>
    </row>
    <row r="2" spans="1:20" s="16" customFormat="1" ht="409.5" customHeight="1" x14ac:dyDescent="0.2">
      <c r="A2" s="175" t="s">
        <v>177</v>
      </c>
      <c r="B2" s="175"/>
      <c r="C2" s="175"/>
      <c r="D2" s="175"/>
      <c r="E2" s="175"/>
      <c r="F2" s="175"/>
      <c r="G2" s="175"/>
      <c r="H2" s="175"/>
      <c r="I2" s="175"/>
      <c r="J2" s="175"/>
      <c r="K2" s="175"/>
      <c r="L2" s="175"/>
      <c r="M2" s="175"/>
    </row>
    <row r="3" spans="1:20" x14ac:dyDescent="0.25">
      <c r="A3" s="23" t="s">
        <v>61</v>
      </c>
      <c r="B3" s="16"/>
      <c r="C3" s="16"/>
      <c r="D3" s="16"/>
      <c r="E3" s="16"/>
      <c r="F3" s="16"/>
      <c r="O3" s="15"/>
      <c r="P3" s="15"/>
      <c r="Q3" s="15"/>
      <c r="R3" s="15"/>
      <c r="S3" s="15"/>
      <c r="T3" s="15"/>
    </row>
    <row r="4" spans="1:20" x14ac:dyDescent="0.25">
      <c r="A4" s="17" t="s">
        <v>62</v>
      </c>
      <c r="B4" s="18" t="s">
        <v>72</v>
      </c>
      <c r="C4" s="19" t="s">
        <v>63</v>
      </c>
      <c r="D4" s="16"/>
      <c r="E4" s="16"/>
      <c r="F4" s="16"/>
      <c r="O4" s="15"/>
      <c r="P4" s="15"/>
      <c r="Q4" s="15"/>
      <c r="R4" s="15"/>
      <c r="S4" s="15"/>
      <c r="T4" s="15"/>
    </row>
    <row r="5" spans="1:20" x14ac:dyDescent="0.25">
      <c r="A5" s="17" t="s">
        <v>64</v>
      </c>
      <c r="B5" s="18" t="s">
        <v>72</v>
      </c>
      <c r="C5" s="19" t="s">
        <v>65</v>
      </c>
      <c r="D5" s="16"/>
      <c r="E5" s="16"/>
      <c r="F5" s="16"/>
      <c r="O5" s="15"/>
      <c r="P5" s="15"/>
      <c r="Q5" s="15"/>
      <c r="R5" s="15"/>
      <c r="S5" s="15"/>
      <c r="T5" s="15"/>
    </row>
    <row r="6" spans="1:20" x14ac:dyDescent="0.25">
      <c r="A6" s="17" t="s">
        <v>66</v>
      </c>
      <c r="B6" s="18" t="s">
        <v>72</v>
      </c>
      <c r="C6" s="19" t="s">
        <v>67</v>
      </c>
      <c r="D6" s="16"/>
      <c r="E6" s="16"/>
      <c r="F6" s="16"/>
    </row>
    <row r="7" spans="1:20" x14ac:dyDescent="0.25">
      <c r="A7" s="17" t="s">
        <v>68</v>
      </c>
      <c r="B7" s="18" t="s">
        <v>72</v>
      </c>
      <c r="C7" s="19" t="s">
        <v>69</v>
      </c>
      <c r="D7" s="16"/>
      <c r="E7" s="16"/>
      <c r="F7" s="16"/>
    </row>
    <row r="8" spans="1:20" x14ac:dyDescent="0.25">
      <c r="A8" s="17" t="s">
        <v>70</v>
      </c>
      <c r="B8" s="18" t="s">
        <v>72</v>
      </c>
      <c r="C8" s="19" t="s">
        <v>71</v>
      </c>
      <c r="D8" s="16"/>
      <c r="E8" s="16"/>
      <c r="F8" s="16"/>
    </row>
    <row r="9" spans="1:20" x14ac:dyDescent="0.25">
      <c r="A9" s="17" t="s">
        <v>100</v>
      </c>
      <c r="B9" s="18" t="s">
        <v>72</v>
      </c>
      <c r="C9" s="19" t="s">
        <v>101</v>
      </c>
      <c r="D9" s="16"/>
      <c r="E9" s="16"/>
      <c r="F9" s="16"/>
    </row>
    <row r="10" spans="1:20" x14ac:dyDescent="0.25">
      <c r="A10" s="17"/>
      <c r="B10" s="16"/>
      <c r="C10" s="19"/>
      <c r="D10" s="16"/>
      <c r="E10" s="16"/>
      <c r="F10" s="16"/>
    </row>
    <row r="11" spans="1:20" x14ac:dyDescent="0.25">
      <c r="A11" s="22" t="s">
        <v>156</v>
      </c>
      <c r="B11" s="16"/>
      <c r="C11" s="19"/>
      <c r="D11" s="16"/>
      <c r="E11" s="16"/>
      <c r="F11" s="16"/>
    </row>
    <row r="12" spans="1:20" x14ac:dyDescent="0.25">
      <c r="A12" s="17" t="s">
        <v>134</v>
      </c>
      <c r="B12" s="18" t="s">
        <v>72</v>
      </c>
      <c r="C12" s="19" t="s">
        <v>143</v>
      </c>
      <c r="D12" s="16"/>
      <c r="E12" s="16"/>
      <c r="F12" s="16"/>
      <c r="G12" s="17" t="s">
        <v>136</v>
      </c>
      <c r="H12" s="18" t="s">
        <v>72</v>
      </c>
      <c r="I12" s="19" t="s">
        <v>146</v>
      </c>
    </row>
    <row r="13" spans="1:20" x14ac:dyDescent="0.25">
      <c r="A13" s="17" t="s">
        <v>139</v>
      </c>
      <c r="B13" s="18" t="s">
        <v>72</v>
      </c>
      <c r="C13" s="19" t="s">
        <v>150</v>
      </c>
      <c r="D13" s="16"/>
      <c r="E13" s="16"/>
      <c r="F13" s="16"/>
      <c r="G13" s="17" t="s">
        <v>81</v>
      </c>
      <c r="H13" s="18" t="s">
        <v>72</v>
      </c>
      <c r="I13" s="19" t="s">
        <v>142</v>
      </c>
    </row>
    <row r="14" spans="1:20" x14ac:dyDescent="0.25">
      <c r="A14" s="20" t="s">
        <v>84</v>
      </c>
      <c r="B14" s="18" t="s">
        <v>72</v>
      </c>
      <c r="C14" s="19" t="s">
        <v>102</v>
      </c>
      <c r="D14" s="16"/>
      <c r="E14" s="16"/>
      <c r="F14" s="16"/>
      <c r="G14" s="17" t="s">
        <v>131</v>
      </c>
      <c r="H14" s="18" t="s">
        <v>72</v>
      </c>
      <c r="I14" s="16" t="s">
        <v>157</v>
      </c>
    </row>
    <row r="15" spans="1:20" x14ac:dyDescent="0.25">
      <c r="A15" s="17" t="s">
        <v>108</v>
      </c>
      <c r="B15" s="18" t="s">
        <v>72</v>
      </c>
      <c r="C15" s="19" t="s">
        <v>109</v>
      </c>
      <c r="G15" s="17" t="s">
        <v>133</v>
      </c>
      <c r="H15" s="18" t="s">
        <v>72</v>
      </c>
      <c r="I15" s="19" t="s">
        <v>144</v>
      </c>
    </row>
    <row r="16" spans="1:20" x14ac:dyDescent="0.25">
      <c r="A16" s="17" t="s">
        <v>140</v>
      </c>
      <c r="B16" s="18" t="s">
        <v>72</v>
      </c>
      <c r="C16" s="19" t="s">
        <v>153</v>
      </c>
      <c r="G16" s="17" t="s">
        <v>137</v>
      </c>
      <c r="H16" s="18" t="s">
        <v>72</v>
      </c>
      <c r="I16" s="19" t="s">
        <v>147</v>
      </c>
    </row>
    <row r="17" spans="1:9" x14ac:dyDescent="0.25">
      <c r="A17" s="17" t="s">
        <v>85</v>
      </c>
      <c r="B17" s="18" t="s">
        <v>72</v>
      </c>
      <c r="C17" s="19" t="s">
        <v>148</v>
      </c>
      <c r="G17" s="17" t="s">
        <v>154</v>
      </c>
      <c r="H17" s="18" t="s">
        <v>72</v>
      </c>
      <c r="I17" s="19" t="s">
        <v>155</v>
      </c>
    </row>
    <row r="18" spans="1:9" x14ac:dyDescent="0.25">
      <c r="A18" s="17" t="s">
        <v>112</v>
      </c>
      <c r="B18" s="18" t="s">
        <v>72</v>
      </c>
      <c r="C18" s="19" t="s">
        <v>113</v>
      </c>
      <c r="G18" s="17" t="s">
        <v>132</v>
      </c>
      <c r="H18" s="18" t="s">
        <v>72</v>
      </c>
      <c r="I18" s="19" t="s">
        <v>141</v>
      </c>
    </row>
    <row r="19" spans="1:9" x14ac:dyDescent="0.25">
      <c r="A19" s="17" t="s">
        <v>138</v>
      </c>
      <c r="B19" s="18" t="s">
        <v>72</v>
      </c>
      <c r="C19" s="19" t="s">
        <v>149</v>
      </c>
      <c r="G19" s="17" t="s">
        <v>54</v>
      </c>
      <c r="H19" s="18" t="s">
        <v>72</v>
      </c>
      <c r="I19" s="19" t="s">
        <v>151</v>
      </c>
    </row>
    <row r="20" spans="1:9" x14ac:dyDescent="0.25">
      <c r="A20" s="17" t="s">
        <v>135</v>
      </c>
      <c r="B20" s="18" t="s">
        <v>72</v>
      </c>
      <c r="C20" s="19" t="s">
        <v>145</v>
      </c>
      <c r="G20" s="17" t="s">
        <v>176</v>
      </c>
      <c r="H20" s="18" t="s">
        <v>72</v>
      </c>
      <c r="I20" s="19" t="s">
        <v>152</v>
      </c>
    </row>
    <row r="26" spans="1:9" s="21" customFormat="1" x14ac:dyDescent="0.25"/>
  </sheetData>
  <sheetProtection algorithmName="SHA-512" hashValue="90f+yAkafpV1Ohn25q2NkNVMCi/efGsH7zmSgAleHMTmrqX+x8tm+jBDhDayppxcPFoB2TD/el3b2kQk/GDqeQ==" saltValue="E6sQGGMXDxGHkv2WEH/fUg==" spinCount="100000" sheet="1" objects="1" scenarios="1"/>
  <sortState xmlns:xlrd2="http://schemas.microsoft.com/office/spreadsheetml/2017/richdata2" ref="A12:C29">
    <sortCondition ref="A12:A29"/>
  </sortState>
  <mergeCells count="2">
    <mergeCell ref="A1:M1"/>
    <mergeCell ref="A2:M2"/>
  </mergeCells>
  <pageMargins left="0.7" right="0.7" top="0.75" bottom="0.75" header="0.3" footer="0.3"/>
  <pageSetup scale="79" fitToHeight="0" orientation="portrait" verticalDpi="1200" r:id="rId1"/>
  <headerFooter>
    <oddFooter>&amp;L&amp;"Arial,Italic"&amp;8wq-lndapp2-09  •  1/31/23&amp;C&amp;"Arial,Italic"&amp;8 •  www.pca.state.mn.us  •  Available in alternative formats  •  651-296-6300  •  800-657-3864  •  Use your preferred relay service&amp;R&amp;"Arial,Italic"&amp;8Page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O47"/>
  <sheetViews>
    <sheetView showGridLines="0" zoomScaleNormal="100" workbookViewId="0">
      <selection activeCell="B2" sqref="B2:F2"/>
    </sheetView>
  </sheetViews>
  <sheetFormatPr defaultColWidth="9.140625" defaultRowHeight="15" x14ac:dyDescent="0.25"/>
  <cols>
    <col min="1" max="1" width="2.85546875" style="2" customWidth="1"/>
    <col min="2" max="2" width="63.7109375" style="2" customWidth="1"/>
    <col min="3" max="6" width="12.5703125" style="2" customWidth="1"/>
    <col min="7" max="16384" width="9.140625" style="2"/>
  </cols>
  <sheetData>
    <row r="1" spans="2:15" ht="15" customHeight="1" thickBot="1" x14ac:dyDescent="0.3"/>
    <row r="2" spans="2:15" ht="18.75" x14ac:dyDescent="0.3">
      <c r="B2" s="184" t="s">
        <v>32</v>
      </c>
      <c r="C2" s="185"/>
      <c r="D2" s="185"/>
      <c r="E2" s="185"/>
      <c r="F2" s="186"/>
    </row>
    <row r="3" spans="2:15" ht="77.25" customHeight="1" thickBot="1" x14ac:dyDescent="0.3">
      <c r="B3" s="189" t="s">
        <v>118</v>
      </c>
      <c r="C3" s="190"/>
      <c r="D3" s="190"/>
      <c r="E3" s="190"/>
      <c r="F3" s="191"/>
    </row>
    <row r="4" spans="2:15" ht="15.75" thickBot="1" x14ac:dyDescent="0.3">
      <c r="B4" s="176" t="s">
        <v>105</v>
      </c>
      <c r="C4" s="177"/>
      <c r="D4" s="177"/>
      <c r="E4" s="177"/>
      <c r="F4" s="178"/>
    </row>
    <row r="5" spans="2:15" ht="15.75" thickBot="1" x14ac:dyDescent="0.3">
      <c r="B5" s="181" t="s">
        <v>17</v>
      </c>
      <c r="C5" s="187" t="s">
        <v>30</v>
      </c>
      <c r="D5" s="188"/>
      <c r="E5" s="187" t="s">
        <v>31</v>
      </c>
      <c r="F5" s="188"/>
    </row>
    <row r="6" spans="2:15" ht="15.75" thickBot="1" x14ac:dyDescent="0.3">
      <c r="B6" s="182"/>
      <c r="C6" s="194" t="s">
        <v>37</v>
      </c>
      <c r="D6" s="195"/>
      <c r="E6" s="196" t="s">
        <v>36</v>
      </c>
      <c r="F6" s="195"/>
      <c r="J6" s="9"/>
    </row>
    <row r="7" spans="2:15" ht="15.75" thickBot="1" x14ac:dyDescent="0.3">
      <c r="B7" s="183"/>
      <c r="C7" s="24" t="s">
        <v>7</v>
      </c>
      <c r="D7" s="25" t="s">
        <v>6</v>
      </c>
      <c r="E7" s="26" t="s">
        <v>7</v>
      </c>
      <c r="F7" s="25" t="s">
        <v>6</v>
      </c>
      <c r="J7" s="10"/>
    </row>
    <row r="8" spans="2:15" x14ac:dyDescent="0.25">
      <c r="B8" s="27" t="s">
        <v>1</v>
      </c>
      <c r="C8" s="28"/>
      <c r="D8" s="29" t="s">
        <v>0</v>
      </c>
      <c r="E8" s="30"/>
      <c r="F8" s="31"/>
      <c r="G8" s="9"/>
      <c r="H8" s="9"/>
      <c r="I8" s="9"/>
      <c r="J8" s="9"/>
      <c r="K8" s="9"/>
      <c r="L8" s="9"/>
      <c r="M8" s="9"/>
      <c r="N8" s="9"/>
      <c r="O8" s="9"/>
    </row>
    <row r="9" spans="2:15" x14ac:dyDescent="0.25">
      <c r="B9" s="32" t="s">
        <v>114</v>
      </c>
      <c r="C9" s="33"/>
      <c r="D9" s="34" t="s">
        <v>0</v>
      </c>
      <c r="E9" s="33"/>
      <c r="F9" s="34" t="s">
        <v>13</v>
      </c>
      <c r="G9" s="10"/>
      <c r="H9" s="10"/>
      <c r="I9" s="10"/>
      <c r="J9" s="9"/>
      <c r="K9" s="9"/>
      <c r="L9" s="9"/>
      <c r="M9" s="9"/>
      <c r="N9" s="9"/>
      <c r="O9" s="9"/>
    </row>
    <row r="10" spans="2:15" x14ac:dyDescent="0.25">
      <c r="B10" s="32" t="s">
        <v>2</v>
      </c>
      <c r="C10" s="33"/>
      <c r="D10" s="34" t="s">
        <v>0</v>
      </c>
      <c r="E10" s="33"/>
      <c r="F10" s="34" t="s">
        <v>13</v>
      </c>
      <c r="G10" s="9"/>
      <c r="H10" s="9"/>
      <c r="I10" s="9"/>
      <c r="J10" s="9"/>
      <c r="L10" s="9"/>
      <c r="M10" s="9"/>
      <c r="N10" s="9"/>
      <c r="O10" s="9"/>
    </row>
    <row r="11" spans="2:15" x14ac:dyDescent="0.25">
      <c r="B11" s="32" t="s">
        <v>12</v>
      </c>
      <c r="C11" s="33"/>
      <c r="D11" s="34" t="s">
        <v>0</v>
      </c>
      <c r="E11" s="33"/>
      <c r="F11" s="34" t="s">
        <v>13</v>
      </c>
      <c r="G11" s="9"/>
      <c r="H11" s="9"/>
      <c r="I11" s="9"/>
      <c r="J11" s="9"/>
      <c r="L11" s="10"/>
      <c r="M11" s="10"/>
      <c r="N11" s="10"/>
      <c r="O11" s="10"/>
    </row>
    <row r="12" spans="2:15" x14ac:dyDescent="0.25">
      <c r="B12" s="32" t="s">
        <v>4</v>
      </c>
      <c r="C12" s="33"/>
      <c r="D12" s="34" t="s">
        <v>3</v>
      </c>
      <c r="E12" s="33"/>
      <c r="F12" s="34" t="s">
        <v>13</v>
      </c>
      <c r="G12" s="9"/>
      <c r="H12" s="9"/>
      <c r="I12" s="9"/>
      <c r="J12" s="9"/>
      <c r="L12" s="9"/>
      <c r="M12" s="9"/>
      <c r="N12" s="9"/>
      <c r="O12" s="9"/>
    </row>
    <row r="13" spans="2:15" x14ac:dyDescent="0.25">
      <c r="B13" s="32" t="s">
        <v>23</v>
      </c>
      <c r="C13" s="33"/>
      <c r="D13" s="34" t="s">
        <v>3</v>
      </c>
      <c r="E13" s="33"/>
      <c r="F13" s="34" t="s">
        <v>13</v>
      </c>
      <c r="G13" s="9"/>
      <c r="H13" s="9"/>
      <c r="I13" s="9"/>
      <c r="J13" s="9"/>
      <c r="L13" s="9"/>
      <c r="M13" s="9"/>
      <c r="N13" s="9"/>
      <c r="O13" s="9"/>
    </row>
    <row r="14" spans="2:15" x14ac:dyDescent="0.25">
      <c r="B14" s="32" t="s">
        <v>158</v>
      </c>
      <c r="C14" s="33"/>
      <c r="D14" s="34" t="s">
        <v>3</v>
      </c>
      <c r="E14" s="33"/>
      <c r="F14" s="34" t="s">
        <v>13</v>
      </c>
      <c r="G14" s="9"/>
      <c r="H14" s="9"/>
      <c r="I14" s="9"/>
      <c r="J14" s="9"/>
      <c r="L14" s="9"/>
      <c r="M14" s="9"/>
      <c r="N14" s="9"/>
      <c r="O14" s="9"/>
    </row>
    <row r="15" spans="2:15" x14ac:dyDescent="0.25">
      <c r="B15" s="35" t="s">
        <v>75</v>
      </c>
      <c r="C15" s="36"/>
      <c r="D15" s="34" t="s">
        <v>74</v>
      </c>
      <c r="E15" s="37"/>
      <c r="F15" s="34"/>
      <c r="G15" s="9"/>
      <c r="H15" s="9"/>
      <c r="I15" s="9"/>
      <c r="J15" s="9"/>
      <c r="L15" s="9"/>
      <c r="M15" s="9"/>
      <c r="N15" s="9"/>
      <c r="O15" s="9"/>
    </row>
    <row r="16" spans="2:15" x14ac:dyDescent="0.25">
      <c r="B16" s="35" t="s">
        <v>86</v>
      </c>
      <c r="C16" s="192"/>
      <c r="D16" s="193"/>
      <c r="E16" s="37"/>
      <c r="F16" s="34"/>
      <c r="G16" s="9"/>
      <c r="H16" s="9"/>
      <c r="I16" s="9"/>
      <c r="J16" s="9"/>
      <c r="L16" s="9"/>
      <c r="M16" s="9"/>
      <c r="N16" s="9"/>
      <c r="O16" s="9"/>
    </row>
    <row r="17" spans="2:15" x14ac:dyDescent="0.25">
      <c r="B17" s="32" t="s">
        <v>159</v>
      </c>
      <c r="C17" s="38"/>
      <c r="D17" s="34" t="s">
        <v>0</v>
      </c>
      <c r="E17" s="39"/>
      <c r="F17" s="34" t="s">
        <v>0</v>
      </c>
      <c r="G17" s="9"/>
      <c r="H17" s="9"/>
      <c r="I17" s="9"/>
      <c r="J17" s="10"/>
      <c r="L17" s="9"/>
      <c r="M17" s="9"/>
      <c r="N17" s="9"/>
      <c r="O17" s="9"/>
    </row>
    <row r="18" spans="2:15" x14ac:dyDescent="0.25">
      <c r="B18" s="35" t="s">
        <v>8</v>
      </c>
      <c r="C18" s="40"/>
      <c r="D18" s="34"/>
      <c r="E18" s="40"/>
      <c r="F18" s="34"/>
      <c r="G18" s="9"/>
      <c r="H18" s="9"/>
      <c r="I18" s="9"/>
      <c r="J18" s="9"/>
      <c r="L18" s="9"/>
      <c r="M18" s="9"/>
      <c r="N18" s="9"/>
      <c r="O18" s="9"/>
    </row>
    <row r="19" spans="2:15" x14ac:dyDescent="0.25">
      <c r="B19" s="27" t="s">
        <v>160</v>
      </c>
      <c r="C19" s="39"/>
      <c r="D19" s="34" t="s">
        <v>0</v>
      </c>
      <c r="E19" s="39"/>
      <c r="F19" s="34" t="s">
        <v>0</v>
      </c>
      <c r="H19" s="9"/>
      <c r="I19" s="10"/>
      <c r="J19" s="9"/>
      <c r="L19" s="9"/>
      <c r="M19" s="9"/>
      <c r="N19" s="9"/>
      <c r="O19" s="9"/>
    </row>
    <row r="20" spans="2:15" x14ac:dyDescent="0.25">
      <c r="B20" s="35" t="s">
        <v>9</v>
      </c>
      <c r="C20" s="40"/>
      <c r="D20" s="34"/>
      <c r="E20" s="40"/>
      <c r="F20" s="34"/>
      <c r="G20" s="10"/>
      <c r="H20" s="10"/>
      <c r="I20" s="9"/>
      <c r="J20" s="9"/>
      <c r="L20" s="10"/>
      <c r="M20" s="10"/>
      <c r="N20" s="10"/>
      <c r="O20" s="10"/>
    </row>
    <row r="21" spans="2:15" x14ac:dyDescent="0.25">
      <c r="B21" s="35" t="s">
        <v>10</v>
      </c>
      <c r="C21" s="40"/>
      <c r="D21" s="34"/>
      <c r="E21" s="40"/>
      <c r="F21" s="34"/>
      <c r="G21" s="11"/>
      <c r="H21" s="9"/>
      <c r="I21" s="9"/>
      <c r="J21" s="9"/>
      <c r="L21" s="9"/>
      <c r="M21" s="9"/>
      <c r="N21" s="9"/>
      <c r="O21" s="9"/>
    </row>
    <row r="22" spans="2:15" x14ac:dyDescent="0.25">
      <c r="B22" s="32" t="s">
        <v>119</v>
      </c>
      <c r="C22" s="41"/>
      <c r="D22" s="34" t="s">
        <v>15</v>
      </c>
      <c r="E22" s="41"/>
      <c r="F22" s="34" t="s">
        <v>15</v>
      </c>
      <c r="G22" s="9"/>
      <c r="H22" s="9"/>
      <c r="I22" s="9"/>
      <c r="J22" s="12"/>
      <c r="K22" s="9"/>
      <c r="L22" s="9"/>
      <c r="M22" s="9"/>
      <c r="N22" s="9"/>
      <c r="O22" s="9"/>
    </row>
    <row r="23" spans="2:15" x14ac:dyDescent="0.25">
      <c r="B23" s="32" t="s">
        <v>11</v>
      </c>
      <c r="C23" s="41"/>
      <c r="D23" s="34" t="s">
        <v>15</v>
      </c>
      <c r="E23" s="41"/>
      <c r="F23" s="34" t="s">
        <v>15</v>
      </c>
      <c r="G23" s="9"/>
      <c r="H23" s="9"/>
      <c r="J23" s="9"/>
      <c r="K23" s="9"/>
      <c r="M23" s="9"/>
      <c r="N23" s="9"/>
      <c r="O23" s="9"/>
    </row>
    <row r="24" spans="2:15" x14ac:dyDescent="0.25">
      <c r="B24" s="35" t="s">
        <v>175</v>
      </c>
      <c r="C24" s="42"/>
      <c r="D24" s="43"/>
      <c r="E24" s="44"/>
      <c r="F24" s="43"/>
      <c r="I24" s="12"/>
      <c r="J24" s="9"/>
      <c r="K24" s="9"/>
      <c r="M24" s="9"/>
      <c r="N24" s="9"/>
      <c r="O24" s="9"/>
    </row>
    <row r="25" spans="2:15" x14ac:dyDescent="0.25">
      <c r="B25" s="45" t="s">
        <v>161</v>
      </c>
      <c r="C25" s="46"/>
      <c r="D25" s="34" t="s">
        <v>89</v>
      </c>
      <c r="E25" s="39"/>
      <c r="F25" s="34" t="s">
        <v>89</v>
      </c>
      <c r="I25" s="12"/>
      <c r="J25" s="9"/>
      <c r="K25" s="9"/>
      <c r="M25" s="9"/>
      <c r="N25" s="9"/>
      <c r="O25" s="9"/>
    </row>
    <row r="26" spans="2:15" ht="15.75" thickBot="1" x14ac:dyDescent="0.3">
      <c r="B26" s="47" t="s">
        <v>90</v>
      </c>
      <c r="C26" s="42"/>
      <c r="D26" s="43"/>
      <c r="E26" s="44"/>
      <c r="F26" s="43"/>
      <c r="G26" s="12"/>
      <c r="H26" s="12"/>
      <c r="I26" s="9"/>
      <c r="J26" s="9"/>
      <c r="K26" s="9"/>
      <c r="M26" s="9"/>
      <c r="N26" s="9"/>
      <c r="O26" s="9"/>
    </row>
    <row r="27" spans="2:15" x14ac:dyDescent="0.25">
      <c r="B27" s="48" t="s">
        <v>115</v>
      </c>
      <c r="C27" s="49"/>
      <c r="D27" s="50"/>
      <c r="E27" s="51"/>
      <c r="F27" s="52"/>
      <c r="G27" s="9"/>
      <c r="H27" s="9"/>
      <c r="I27" s="9"/>
      <c r="J27" s="9"/>
      <c r="K27" s="9"/>
      <c r="M27" s="12"/>
      <c r="N27" s="12"/>
      <c r="O27" s="12"/>
    </row>
    <row r="28" spans="2:15" x14ac:dyDescent="0.25">
      <c r="B28" s="32" t="s">
        <v>14</v>
      </c>
      <c r="C28" s="53" t="str">
        <f>IF(OR(ISNUMBER(C9),ISNUMBER(C10),ISNUMBER(C11)),(((C9/100)-(C10/100))*(C17/100)*2000)+((C10/100)*(C19/100)*2000)+((C11/100)*2000)," ")</f>
        <v xml:space="preserve"> </v>
      </c>
      <c r="D28" s="34" t="s">
        <v>5</v>
      </c>
      <c r="E28" s="53" t="str">
        <f xml:space="preserve"> IF(OR(ISNUMBER(E9),ISNUMBER(E10),ISNUMBER(E11)),(E9-E10)*(E17/100)+(E10*(E19/100))+E11," ")</f>
        <v xml:space="preserve"> </v>
      </c>
      <c r="F28" s="34" t="s">
        <v>35</v>
      </c>
      <c r="G28" s="9"/>
      <c r="H28" s="9"/>
      <c r="I28" s="9"/>
      <c r="J28" s="9"/>
      <c r="K28" s="9"/>
      <c r="M28" s="9"/>
      <c r="N28" s="9"/>
      <c r="O28" s="9"/>
    </row>
    <row r="29" spans="2:15" x14ac:dyDescent="0.25">
      <c r="B29" s="32" t="s">
        <v>41</v>
      </c>
      <c r="C29" s="53" t="str">
        <f>IF(ISNUMBER(C22),IF(C22-C23&lt;=0,0,C22-C23)," ")</f>
        <v xml:space="preserve"> </v>
      </c>
      <c r="D29" s="34" t="s">
        <v>15</v>
      </c>
      <c r="E29" s="54" t="str">
        <f>IF(ISNUMBER(E22),IF(E22-E23&lt;=0,0,E22-E23)," ")</f>
        <v xml:space="preserve"> </v>
      </c>
      <c r="F29" s="55" t="s">
        <v>15</v>
      </c>
      <c r="G29" s="9"/>
      <c r="H29" s="9"/>
      <c r="I29" s="9"/>
      <c r="J29" s="9"/>
      <c r="M29" s="9"/>
      <c r="N29" s="9"/>
      <c r="O29" s="9"/>
    </row>
    <row r="30" spans="2:15" ht="24.75" x14ac:dyDescent="0.25">
      <c r="B30" s="56" t="s">
        <v>25</v>
      </c>
      <c r="C30" s="57" t="s">
        <v>16</v>
      </c>
      <c r="D30" s="58" t="s">
        <v>107</v>
      </c>
      <c r="E30" s="57" t="s">
        <v>16</v>
      </c>
      <c r="F30" s="59"/>
      <c r="G30" s="9"/>
      <c r="H30" s="9"/>
      <c r="I30" s="9"/>
      <c r="M30" s="9"/>
      <c r="N30" s="9"/>
      <c r="O30" s="9"/>
    </row>
    <row r="31" spans="2:15" x14ac:dyDescent="0.25">
      <c r="B31" s="32" t="s">
        <v>106</v>
      </c>
      <c r="C31" s="60" t="str">
        <f>IF(OR(C8&lt;=0,C28&lt;=0,C28=" ")," ",IF(OR(C29=" ",C29&lt;=0),0,((C29/C28)*(2000/8.3454))/(C8/100)))</f>
        <v xml:space="preserve"> </v>
      </c>
      <c r="D31" s="61" t="str">
        <f>IF(OR(C8&lt;=0,C28&lt;=0,C28=" ")," ",IF(OR(C29=" ",C29&lt;=0),0,((C29/C28)/(C8/100))))</f>
        <v xml:space="preserve"> </v>
      </c>
      <c r="E31" s="62" t="str">
        <f>IF(OR(E28&lt;=0,E28=" ")," ",IF(OR(E29=" ",E29&lt;=0),0,(E29/(E28*8.3454))*1000000))</f>
        <v xml:space="preserve"> </v>
      </c>
      <c r="F31" s="59"/>
      <c r="G31" s="9"/>
      <c r="H31" s="9"/>
      <c r="I31" s="9"/>
      <c r="M31" s="9"/>
      <c r="N31" s="9"/>
      <c r="O31" s="9"/>
    </row>
    <row r="32" spans="2:15" x14ac:dyDescent="0.25">
      <c r="B32" s="32" t="s">
        <v>42</v>
      </c>
      <c r="C32" s="63" t="str">
        <f>IF(OR(C8&lt;=0,C12&lt;=0)," ",IF(C25&gt;=170,0,((((170-C25)/((C12*(2000/1000000)))*(2000/8.3454))/(C8/100)))))</f>
        <v xml:space="preserve"> </v>
      </c>
      <c r="D32" s="64" t="str">
        <f>IF(OR(C8&lt;=0,C12&lt;=0)," ",((170-C25)/(C12*(2000/1000000))/(C8/100)))</f>
        <v xml:space="preserve"> </v>
      </c>
      <c r="E32" s="62" t="str">
        <f>IF(E12&lt;=0," ",IF(C25&gt;=170,0,((170-E25)/(E12*8.3454))*1000000))</f>
        <v xml:space="preserve"> </v>
      </c>
      <c r="F32" s="59"/>
      <c r="G32" s="9"/>
      <c r="H32" s="9"/>
      <c r="I32" s="9"/>
      <c r="M32" s="9"/>
      <c r="N32" s="9"/>
      <c r="O32" s="9"/>
    </row>
    <row r="33" spans="2:15" x14ac:dyDescent="0.25">
      <c r="B33" s="32" t="s">
        <v>162</v>
      </c>
      <c r="C33" s="60" t="str">
        <f>IF(OR(C8&lt;=0,C13&lt;=0)," ",(((1500/((C13*(2000/1000000)))*(2000/8.3454))/(C8/100))))</f>
        <v xml:space="preserve"> </v>
      </c>
      <c r="D33" s="61" t="str">
        <f>IF(OR(C8&lt;=0,C13&lt;=0)," ",(1500/(C13*(2000/1000000))/(C8/100)))</f>
        <v xml:space="preserve"> </v>
      </c>
      <c r="E33" s="62" t="str">
        <f>IF(E13&lt;=0," ",(1500/(E13*8.3454))*1000000)</f>
        <v xml:space="preserve"> </v>
      </c>
      <c r="F33" s="59"/>
      <c r="G33" s="9"/>
      <c r="H33" s="9"/>
      <c r="M33" s="9"/>
      <c r="N33" s="9"/>
      <c r="O33" s="9"/>
    </row>
    <row r="34" spans="2:15" ht="15.75" thickBot="1" x14ac:dyDescent="0.3">
      <c r="B34" s="32" t="str">
        <f>IF(ISTEXT(C16), "Based on "&amp;C16&amp;" addition ("&amp;C15 &amp;" lb/ac limit)"," ")</f>
        <v xml:space="preserve"> </v>
      </c>
      <c r="C34" s="65" t="str">
        <f>IF(OR(C8&lt;=0,C14&lt;=0)," ",(((C15/((C14*(2000/1000000)))*(2000/8.3454))/(C8/100))))</f>
        <v xml:space="preserve"> </v>
      </c>
      <c r="D34" s="66" t="str">
        <f>IF(OR(C8&lt;=0,C14&lt;=0)," ",(C15/(C14*(2000/1000000))/(C8/100)))</f>
        <v xml:space="preserve"> </v>
      </c>
      <c r="E34" s="67" t="str">
        <f>IF(E14&lt;=0," ",(C15/(E14*8.3454))*1000000)</f>
        <v xml:space="preserve"> </v>
      </c>
      <c r="F34" s="59"/>
      <c r="M34" s="9"/>
      <c r="N34" s="9"/>
      <c r="O34" s="9"/>
    </row>
    <row r="35" spans="2:15" ht="15.75" thickBot="1" x14ac:dyDescent="0.3">
      <c r="B35" s="68" t="s">
        <v>38</v>
      </c>
      <c r="C35" s="69" t="str">
        <f>IF(OR(ISNUMBER(C31),ISNUMBER(C32),ISNUMBER(C34)),MIN(C31,C32,C34)," ")</f>
        <v xml:space="preserve"> </v>
      </c>
      <c r="D35" s="70" t="str">
        <f>IF(OR(ISNUMBER(D31),ISNUMBER(D32),ISNUMBER(D34)),MIN(D31,D32,D34)," ")</f>
        <v xml:space="preserve"> </v>
      </c>
      <c r="E35" s="71" t="str">
        <f>IF(OR(ISNUMBER(E31),ISNUMBER(E32),ISNUMBER(E34)),MIN(E31,E32,E34)," ")</f>
        <v xml:space="preserve"> </v>
      </c>
      <c r="F35" s="72"/>
      <c r="M35" s="9"/>
      <c r="N35" s="9"/>
      <c r="O35" s="9"/>
    </row>
    <row r="36" spans="2:15" ht="15" customHeight="1" x14ac:dyDescent="0.25">
      <c r="B36" s="179" t="s">
        <v>163</v>
      </c>
      <c r="C36" s="179"/>
      <c r="D36" s="179"/>
      <c r="E36" s="179"/>
      <c r="F36" s="179"/>
      <c r="M36" s="9"/>
      <c r="N36" s="9"/>
      <c r="O36" s="9"/>
    </row>
    <row r="37" spans="2:15" x14ac:dyDescent="0.25">
      <c r="B37" s="180"/>
      <c r="C37" s="180"/>
      <c r="D37" s="180"/>
      <c r="E37" s="180"/>
      <c r="F37" s="180"/>
      <c r="M37" s="9"/>
      <c r="N37" s="9"/>
      <c r="O37" s="9"/>
    </row>
    <row r="38" spans="2:15" ht="15" customHeight="1" x14ac:dyDescent="0.25">
      <c r="B38" s="180"/>
      <c r="C38" s="180"/>
      <c r="D38" s="180"/>
      <c r="E38" s="180"/>
      <c r="F38" s="180"/>
    </row>
    <row r="39" spans="2:15" x14ac:dyDescent="0.25">
      <c r="B39" s="180"/>
      <c r="C39" s="180"/>
      <c r="D39" s="180"/>
      <c r="E39" s="180"/>
      <c r="F39" s="180"/>
    </row>
    <row r="40" spans="2:15" x14ac:dyDescent="0.25">
      <c r="B40" s="180"/>
      <c r="C40" s="180"/>
      <c r="D40" s="180"/>
      <c r="E40" s="180"/>
      <c r="F40" s="180"/>
    </row>
    <row r="41" spans="2:15" x14ac:dyDescent="0.25">
      <c r="B41" s="180"/>
      <c r="C41" s="180"/>
      <c r="D41" s="180"/>
      <c r="E41" s="180"/>
      <c r="F41" s="180"/>
    </row>
    <row r="42" spans="2:15" ht="17.25" customHeight="1" x14ac:dyDescent="0.25">
      <c r="B42" s="180"/>
      <c r="C42" s="180"/>
      <c r="D42" s="180"/>
      <c r="E42" s="180"/>
      <c r="F42" s="180"/>
    </row>
    <row r="43" spans="2:15" ht="15" customHeight="1" x14ac:dyDescent="0.25">
      <c r="B43" s="180"/>
      <c r="C43" s="180"/>
      <c r="D43" s="180"/>
      <c r="E43" s="180"/>
      <c r="F43" s="180"/>
    </row>
    <row r="44" spans="2:15" x14ac:dyDescent="0.25">
      <c r="B44" s="180"/>
      <c r="C44" s="180"/>
      <c r="D44" s="180"/>
      <c r="E44" s="180"/>
      <c r="F44" s="180"/>
    </row>
    <row r="45" spans="2:15" x14ac:dyDescent="0.25">
      <c r="B45" s="180"/>
      <c r="C45" s="180"/>
      <c r="D45" s="180"/>
      <c r="E45" s="180"/>
      <c r="F45" s="180"/>
    </row>
    <row r="46" spans="2:15" x14ac:dyDescent="0.25">
      <c r="B46" s="180"/>
      <c r="C46" s="180"/>
      <c r="D46" s="180"/>
      <c r="E46" s="180"/>
      <c r="F46" s="180"/>
    </row>
    <row r="47" spans="2:15" x14ac:dyDescent="0.25">
      <c r="B47" s="14"/>
      <c r="C47" s="14"/>
      <c r="D47" s="14"/>
      <c r="E47" s="14"/>
      <c r="F47" s="14"/>
    </row>
  </sheetData>
  <sheetProtection algorithmName="SHA-512" hashValue="ubNORr9lxIYTIsQazIU44kV2XVHbuUvWkYMsFxHzmbVsDLFklpzKbsn7B/sqOOV4cUkQc3zGGc1iriLOhNRf9Q==" saltValue="J+z3J5nVj+tkwqt76DzKAQ==" spinCount="100000" sheet="1" objects="1" scenarios="1"/>
  <mergeCells count="10">
    <mergeCell ref="B4:F4"/>
    <mergeCell ref="B36:F46"/>
    <mergeCell ref="B5:B7"/>
    <mergeCell ref="B2:F2"/>
    <mergeCell ref="C5:D5"/>
    <mergeCell ref="E5:F5"/>
    <mergeCell ref="B3:F3"/>
    <mergeCell ref="C16:D16"/>
    <mergeCell ref="C6:D6"/>
    <mergeCell ref="E6:F6"/>
  </mergeCells>
  <pageMargins left="0.7" right="0.7" top="0.75" bottom="0.75" header="0.3" footer="0.3"/>
  <pageSetup scale="77" orientation="portrait" verticalDpi="1200" r:id="rId1"/>
  <headerFooter>
    <oddHeader>&amp;L&amp;G
&amp;R&amp;"-,Bold"&amp;14Industrial By-Product (IBP) Program</oddHeader>
    <oddFooter>&amp;L&amp;"Arial,Italic"&amp;8wq-lndapp2-09  •  1/31/23&amp;C&amp;"Arial,Italic"&amp;8•  www.pca.state.mn.us  •  Available in alternative formats  •  651-296-6300  •  800-657-3864  •  Use your preferred relay service&amp;R&amp;"Arial,Italic"&amp;8Page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DEEA6-E44B-4E0D-B845-FEF13E9A79FA}">
  <sheetPr>
    <pageSetUpPr fitToPage="1"/>
  </sheetPr>
  <dimension ref="B1:S53"/>
  <sheetViews>
    <sheetView showGridLines="0" zoomScaleNormal="100" workbookViewId="0">
      <selection activeCell="B2" sqref="B2:H2"/>
    </sheetView>
  </sheetViews>
  <sheetFormatPr defaultColWidth="9.140625" defaultRowHeight="15" x14ac:dyDescent="0.25"/>
  <cols>
    <col min="1" max="1" width="2.85546875" style="2" customWidth="1"/>
    <col min="2" max="2" width="63.140625" style="2" customWidth="1"/>
    <col min="3" max="8" width="12.7109375" style="2" customWidth="1"/>
    <col min="9" max="16384" width="9.140625" style="2"/>
  </cols>
  <sheetData>
    <row r="1" spans="2:19" ht="15" customHeight="1" thickBot="1" x14ac:dyDescent="0.3"/>
    <row r="2" spans="2:19" ht="18.75" x14ac:dyDescent="0.3">
      <c r="B2" s="184" t="s">
        <v>33</v>
      </c>
      <c r="C2" s="185"/>
      <c r="D2" s="185"/>
      <c r="E2" s="185"/>
      <c r="F2" s="185"/>
      <c r="G2" s="185"/>
      <c r="H2" s="186"/>
    </row>
    <row r="3" spans="2:19" ht="77.25" customHeight="1" thickBot="1" x14ac:dyDescent="0.3">
      <c r="B3" s="189" t="s">
        <v>120</v>
      </c>
      <c r="C3" s="190"/>
      <c r="D3" s="190"/>
      <c r="E3" s="190"/>
      <c r="F3" s="190"/>
      <c r="G3" s="190"/>
      <c r="H3" s="191"/>
    </row>
    <row r="4" spans="2:19" ht="15.75" thickBot="1" x14ac:dyDescent="0.3">
      <c r="B4" s="176" t="s">
        <v>105</v>
      </c>
      <c r="C4" s="177"/>
      <c r="D4" s="177"/>
      <c r="E4" s="177"/>
      <c r="F4" s="177"/>
      <c r="G4" s="177"/>
      <c r="H4" s="178"/>
    </row>
    <row r="5" spans="2:19" ht="15.75" thickBot="1" x14ac:dyDescent="0.3">
      <c r="B5" s="181" t="s">
        <v>17</v>
      </c>
      <c r="C5" s="187" t="s">
        <v>30</v>
      </c>
      <c r="D5" s="188"/>
      <c r="E5" s="197" t="s">
        <v>31</v>
      </c>
      <c r="F5" s="198"/>
      <c r="G5" s="197" t="s">
        <v>49</v>
      </c>
      <c r="H5" s="198"/>
    </row>
    <row r="6" spans="2:19" ht="15.75" thickBot="1" x14ac:dyDescent="0.3">
      <c r="B6" s="182"/>
      <c r="C6" s="196" t="s">
        <v>37</v>
      </c>
      <c r="D6" s="195"/>
      <c r="E6" s="196" t="s">
        <v>37</v>
      </c>
      <c r="F6" s="195"/>
      <c r="G6" s="194" t="s">
        <v>36</v>
      </c>
      <c r="H6" s="195"/>
      <c r="I6" s="1"/>
      <c r="N6" s="9"/>
    </row>
    <row r="7" spans="2:19" ht="15.75" thickBot="1" x14ac:dyDescent="0.3">
      <c r="B7" s="183"/>
      <c r="C7" s="26" t="s">
        <v>7</v>
      </c>
      <c r="D7" s="25" t="s">
        <v>6</v>
      </c>
      <c r="E7" s="26" t="s">
        <v>7</v>
      </c>
      <c r="F7" s="25" t="s">
        <v>6</v>
      </c>
      <c r="G7" s="24" t="s">
        <v>7</v>
      </c>
      <c r="H7" s="25" t="s">
        <v>6</v>
      </c>
      <c r="I7" s="1"/>
      <c r="N7" s="10"/>
    </row>
    <row r="8" spans="2:19" x14ac:dyDescent="0.25">
      <c r="B8" s="32" t="s">
        <v>39</v>
      </c>
      <c r="C8" s="73"/>
      <c r="D8" s="29" t="s">
        <v>34</v>
      </c>
      <c r="E8" s="28"/>
      <c r="F8" s="29" t="s">
        <v>27</v>
      </c>
      <c r="G8" s="74"/>
      <c r="H8" s="31" t="s">
        <v>34</v>
      </c>
      <c r="I8" s="7"/>
      <c r="K8" s="9"/>
      <c r="L8" s="9"/>
      <c r="M8" s="9"/>
      <c r="N8" s="9"/>
      <c r="O8" s="9"/>
      <c r="P8" s="9"/>
      <c r="Q8" s="9"/>
      <c r="R8" s="9"/>
      <c r="S8" s="9"/>
    </row>
    <row r="9" spans="2:19" x14ac:dyDescent="0.25">
      <c r="B9" s="27" t="s">
        <v>1</v>
      </c>
      <c r="C9" s="33"/>
      <c r="D9" s="34" t="s">
        <v>0</v>
      </c>
      <c r="E9" s="33"/>
      <c r="F9" s="34" t="s">
        <v>0</v>
      </c>
      <c r="G9" s="75"/>
      <c r="H9" s="76"/>
      <c r="I9" s="7"/>
      <c r="K9" s="10"/>
      <c r="L9" s="10"/>
      <c r="M9" s="10"/>
      <c r="N9" s="9"/>
      <c r="O9" s="9"/>
      <c r="P9" s="9"/>
      <c r="Q9" s="9"/>
      <c r="R9" s="9"/>
      <c r="S9" s="9"/>
    </row>
    <row r="10" spans="2:19" x14ac:dyDescent="0.25">
      <c r="B10" s="32" t="s">
        <v>114</v>
      </c>
      <c r="C10" s="33"/>
      <c r="D10" s="34" t="s">
        <v>0</v>
      </c>
      <c r="E10" s="33"/>
      <c r="F10" s="34" t="s">
        <v>0</v>
      </c>
      <c r="G10" s="77"/>
      <c r="H10" s="76" t="s">
        <v>13</v>
      </c>
      <c r="I10" s="7"/>
      <c r="K10" s="9"/>
      <c r="L10" s="9"/>
      <c r="M10" s="9"/>
      <c r="N10" s="9"/>
      <c r="P10" s="9"/>
      <c r="Q10" s="9"/>
      <c r="R10" s="9"/>
      <c r="S10" s="9"/>
    </row>
    <row r="11" spans="2:19" x14ac:dyDescent="0.25">
      <c r="B11" s="32" t="s">
        <v>2</v>
      </c>
      <c r="C11" s="33"/>
      <c r="D11" s="34" t="s">
        <v>0</v>
      </c>
      <c r="E11" s="33"/>
      <c r="F11" s="34" t="s">
        <v>0</v>
      </c>
      <c r="G11" s="77"/>
      <c r="H11" s="76" t="s">
        <v>13</v>
      </c>
      <c r="I11" s="7"/>
      <c r="K11" s="9"/>
      <c r="L11" s="9"/>
      <c r="M11" s="9"/>
      <c r="N11" s="9"/>
      <c r="P11" s="10"/>
      <c r="Q11" s="10"/>
      <c r="R11" s="10"/>
      <c r="S11" s="10"/>
    </row>
    <row r="12" spans="2:19" x14ac:dyDescent="0.25">
      <c r="B12" s="32" t="s">
        <v>12</v>
      </c>
      <c r="C12" s="33"/>
      <c r="D12" s="34" t="s">
        <v>0</v>
      </c>
      <c r="E12" s="33"/>
      <c r="F12" s="34" t="s">
        <v>0</v>
      </c>
      <c r="G12" s="77"/>
      <c r="H12" s="76" t="s">
        <v>13</v>
      </c>
      <c r="I12" s="7"/>
      <c r="K12" s="9"/>
      <c r="L12" s="9"/>
      <c r="M12" s="9"/>
      <c r="N12" s="9"/>
      <c r="P12" s="9"/>
      <c r="Q12" s="9"/>
      <c r="R12" s="9"/>
      <c r="S12" s="9"/>
    </row>
    <row r="13" spans="2:19" x14ac:dyDescent="0.25">
      <c r="B13" s="32" t="s">
        <v>4</v>
      </c>
      <c r="C13" s="33"/>
      <c r="D13" s="34" t="s">
        <v>3</v>
      </c>
      <c r="E13" s="33"/>
      <c r="F13" s="34" t="s">
        <v>3</v>
      </c>
      <c r="G13" s="77"/>
      <c r="H13" s="76" t="s">
        <v>13</v>
      </c>
      <c r="I13" s="7"/>
      <c r="K13" s="9"/>
      <c r="L13" s="9"/>
      <c r="M13" s="9"/>
      <c r="N13" s="9"/>
      <c r="P13" s="9"/>
      <c r="Q13" s="9"/>
      <c r="R13" s="9"/>
      <c r="S13" s="9"/>
    </row>
    <row r="14" spans="2:19" x14ac:dyDescent="0.25">
      <c r="B14" s="32" t="s">
        <v>18</v>
      </c>
      <c r="C14" s="33"/>
      <c r="D14" s="34" t="s">
        <v>0</v>
      </c>
      <c r="E14" s="33"/>
      <c r="F14" s="34" t="s">
        <v>0</v>
      </c>
      <c r="G14" s="77"/>
      <c r="H14" s="76" t="s">
        <v>13</v>
      </c>
      <c r="I14" s="7"/>
      <c r="K14" s="9"/>
      <c r="L14" s="9"/>
      <c r="M14" s="9"/>
      <c r="N14" s="9"/>
      <c r="P14" s="9"/>
      <c r="Q14" s="9"/>
      <c r="R14" s="9"/>
      <c r="S14" s="9"/>
    </row>
    <row r="15" spans="2:19" x14ac:dyDescent="0.25">
      <c r="B15" s="32" t="s">
        <v>116</v>
      </c>
      <c r="C15" s="78"/>
      <c r="D15" s="34" t="s">
        <v>3</v>
      </c>
      <c r="E15" s="33"/>
      <c r="F15" s="34" t="s">
        <v>3</v>
      </c>
      <c r="G15" s="77"/>
      <c r="H15" s="76" t="s">
        <v>13</v>
      </c>
      <c r="I15" s="7"/>
      <c r="K15" s="9"/>
      <c r="L15" s="9"/>
      <c r="M15" s="9"/>
      <c r="N15" s="9"/>
      <c r="P15" s="9"/>
      <c r="Q15" s="9"/>
      <c r="R15" s="9"/>
      <c r="S15" s="9"/>
    </row>
    <row r="16" spans="2:19" x14ac:dyDescent="0.25">
      <c r="B16" s="32" t="s">
        <v>23</v>
      </c>
      <c r="C16" s="78"/>
      <c r="D16" s="34" t="s">
        <v>3</v>
      </c>
      <c r="E16" s="33"/>
      <c r="F16" s="34" t="s">
        <v>3</v>
      </c>
      <c r="G16" s="77"/>
      <c r="H16" s="76" t="s">
        <v>13</v>
      </c>
      <c r="I16" s="7"/>
      <c r="K16" s="9"/>
      <c r="L16" s="9"/>
      <c r="M16" s="9"/>
      <c r="N16" s="9"/>
      <c r="P16" s="9"/>
      <c r="Q16" s="9"/>
      <c r="R16" s="9"/>
      <c r="S16" s="9"/>
    </row>
    <row r="17" spans="2:19" x14ac:dyDescent="0.25">
      <c r="B17" s="32" t="s">
        <v>76</v>
      </c>
      <c r="C17" s="79"/>
      <c r="D17" s="34" t="s">
        <v>3</v>
      </c>
      <c r="E17" s="36"/>
      <c r="F17" s="34" t="s">
        <v>3</v>
      </c>
      <c r="G17" s="77"/>
      <c r="H17" s="76" t="s">
        <v>13</v>
      </c>
      <c r="I17" s="7"/>
      <c r="K17" s="9"/>
      <c r="L17" s="9"/>
      <c r="M17" s="9"/>
      <c r="N17" s="9"/>
      <c r="P17" s="9"/>
      <c r="Q17" s="9"/>
      <c r="R17" s="9"/>
      <c r="S17" s="9"/>
    </row>
    <row r="18" spans="2:19" x14ac:dyDescent="0.25">
      <c r="B18" s="32" t="s">
        <v>164</v>
      </c>
      <c r="C18" s="79"/>
      <c r="D18" s="34" t="s">
        <v>3</v>
      </c>
      <c r="E18" s="36"/>
      <c r="F18" s="34" t="s">
        <v>3</v>
      </c>
      <c r="G18" s="77"/>
      <c r="H18" s="76" t="s">
        <v>13</v>
      </c>
      <c r="I18" s="7"/>
      <c r="K18" s="9"/>
      <c r="L18" s="9"/>
      <c r="M18" s="9"/>
      <c r="N18" s="10"/>
      <c r="P18" s="9"/>
      <c r="Q18" s="9"/>
      <c r="R18" s="9"/>
      <c r="S18" s="9"/>
    </row>
    <row r="19" spans="2:19" x14ac:dyDescent="0.25">
      <c r="B19" s="35" t="s">
        <v>87</v>
      </c>
      <c r="C19" s="199"/>
      <c r="D19" s="200"/>
      <c r="E19" s="80"/>
      <c r="F19" s="81"/>
      <c r="G19" s="82"/>
      <c r="H19" s="83"/>
      <c r="I19" s="7"/>
      <c r="K19" s="9"/>
      <c r="L19" s="9"/>
      <c r="M19" s="9"/>
      <c r="N19" s="9"/>
      <c r="P19" s="9"/>
      <c r="Q19" s="9"/>
      <c r="R19" s="9"/>
      <c r="S19" s="9"/>
    </row>
    <row r="20" spans="2:19" x14ac:dyDescent="0.25">
      <c r="B20" s="32" t="s">
        <v>165</v>
      </c>
      <c r="C20" s="84"/>
      <c r="D20" s="34" t="s">
        <v>3</v>
      </c>
      <c r="E20" s="33"/>
      <c r="F20" s="34" t="s">
        <v>3</v>
      </c>
      <c r="G20" s="77"/>
      <c r="H20" s="76" t="s">
        <v>13</v>
      </c>
      <c r="I20" s="7"/>
      <c r="J20" s="9"/>
      <c r="L20" s="9"/>
      <c r="M20" s="10"/>
      <c r="N20" s="9"/>
      <c r="P20" s="9"/>
      <c r="Q20" s="9"/>
      <c r="R20" s="9"/>
      <c r="S20" s="9"/>
    </row>
    <row r="21" spans="2:19" x14ac:dyDescent="0.25">
      <c r="B21" s="35" t="s">
        <v>88</v>
      </c>
      <c r="C21" s="201"/>
      <c r="D21" s="202"/>
      <c r="E21" s="37"/>
      <c r="F21" s="34"/>
      <c r="G21" s="85"/>
      <c r="H21" s="76"/>
      <c r="I21" s="7"/>
      <c r="K21" s="10"/>
      <c r="L21" s="10"/>
      <c r="M21" s="9"/>
      <c r="N21" s="9"/>
      <c r="P21" s="10"/>
      <c r="Q21" s="10"/>
      <c r="R21" s="10"/>
      <c r="S21" s="10"/>
    </row>
    <row r="22" spans="2:19" x14ac:dyDescent="0.25">
      <c r="B22" s="32" t="s">
        <v>159</v>
      </c>
      <c r="C22" s="86"/>
      <c r="D22" s="34" t="s">
        <v>0</v>
      </c>
      <c r="E22" s="39"/>
      <c r="F22" s="34" t="s">
        <v>0</v>
      </c>
      <c r="G22" s="87"/>
      <c r="H22" s="88" t="s">
        <v>0</v>
      </c>
      <c r="I22" s="7"/>
      <c r="J22" s="9"/>
      <c r="K22" s="11"/>
      <c r="L22" s="9"/>
      <c r="M22" s="9"/>
      <c r="N22" s="9"/>
      <c r="P22" s="9"/>
      <c r="Q22" s="9"/>
      <c r="R22" s="9"/>
      <c r="S22" s="9"/>
    </row>
    <row r="23" spans="2:19" x14ac:dyDescent="0.25">
      <c r="B23" s="35" t="s">
        <v>8</v>
      </c>
      <c r="C23" s="40"/>
      <c r="D23" s="34"/>
      <c r="E23" s="40"/>
      <c r="F23" s="34"/>
      <c r="G23" s="75"/>
      <c r="H23" s="76"/>
      <c r="I23" s="7"/>
      <c r="J23" s="9"/>
      <c r="K23" s="11"/>
      <c r="L23" s="9"/>
      <c r="M23" s="9"/>
      <c r="O23" s="12"/>
      <c r="P23" s="12"/>
      <c r="Q23" s="9"/>
      <c r="R23" s="9"/>
      <c r="S23" s="9"/>
    </row>
    <row r="24" spans="2:19" x14ac:dyDescent="0.25">
      <c r="B24" s="27" t="s">
        <v>160</v>
      </c>
      <c r="C24" s="39"/>
      <c r="D24" s="34" t="s">
        <v>0</v>
      </c>
      <c r="E24" s="39"/>
      <c r="F24" s="34" t="s">
        <v>0</v>
      </c>
      <c r="G24" s="87"/>
      <c r="H24" s="88" t="s">
        <v>0</v>
      </c>
      <c r="I24" s="1"/>
      <c r="J24" s="9"/>
      <c r="K24" s="9"/>
      <c r="L24" s="9"/>
      <c r="M24" s="9"/>
      <c r="N24" s="12"/>
      <c r="O24" s="9"/>
      <c r="P24" s="9"/>
      <c r="Q24" s="9"/>
      <c r="R24" s="9"/>
      <c r="S24" s="9"/>
    </row>
    <row r="25" spans="2:19" x14ac:dyDescent="0.25">
      <c r="B25" s="35" t="s">
        <v>9</v>
      </c>
      <c r="C25" s="40"/>
      <c r="D25" s="76"/>
      <c r="E25" s="89"/>
      <c r="F25" s="76"/>
      <c r="G25" s="90"/>
      <c r="H25" s="34"/>
      <c r="I25" s="1"/>
      <c r="K25" s="9"/>
      <c r="L25" s="9"/>
      <c r="N25" s="9"/>
      <c r="O25" s="9"/>
      <c r="Q25" s="9"/>
      <c r="R25" s="9"/>
      <c r="S25" s="9"/>
    </row>
    <row r="26" spans="2:19" x14ac:dyDescent="0.25">
      <c r="B26" s="35" t="s">
        <v>10</v>
      </c>
      <c r="C26" s="40"/>
      <c r="D26" s="76"/>
      <c r="E26" s="89"/>
      <c r="F26" s="76"/>
      <c r="G26" s="90"/>
      <c r="H26" s="34"/>
      <c r="I26" s="1"/>
      <c r="M26" s="12"/>
      <c r="N26" s="9"/>
      <c r="O26" s="9"/>
      <c r="Q26" s="9"/>
      <c r="R26" s="9"/>
      <c r="S26" s="9"/>
    </row>
    <row r="27" spans="2:19" x14ac:dyDescent="0.25">
      <c r="B27" s="45" t="s">
        <v>166</v>
      </c>
      <c r="C27" s="40"/>
      <c r="D27" s="76"/>
      <c r="E27" s="89"/>
      <c r="F27" s="76"/>
      <c r="G27" s="90"/>
      <c r="H27" s="34"/>
      <c r="I27" s="1"/>
      <c r="M27" s="12"/>
      <c r="N27" s="9"/>
      <c r="O27" s="9"/>
      <c r="Q27" s="9"/>
      <c r="R27" s="9"/>
      <c r="S27" s="9"/>
    </row>
    <row r="28" spans="2:19" ht="15.75" thickBot="1" x14ac:dyDescent="0.3">
      <c r="B28" s="35" t="s">
        <v>29</v>
      </c>
      <c r="C28" s="91"/>
      <c r="D28" s="76" t="s">
        <v>0</v>
      </c>
      <c r="E28" s="92"/>
      <c r="F28" s="76" t="s">
        <v>0</v>
      </c>
      <c r="G28" s="93"/>
      <c r="H28" s="76" t="s">
        <v>0</v>
      </c>
      <c r="I28" s="13"/>
      <c r="J28" s="12"/>
      <c r="K28" s="12"/>
      <c r="L28" s="12"/>
      <c r="M28" s="9"/>
      <c r="N28" s="9"/>
      <c r="O28" s="9"/>
      <c r="Q28" s="9"/>
      <c r="R28" s="9"/>
      <c r="S28" s="9"/>
    </row>
    <row r="29" spans="2:19" x14ac:dyDescent="0.25">
      <c r="B29" s="94" t="s">
        <v>115</v>
      </c>
      <c r="C29" s="51"/>
      <c r="D29" s="95"/>
      <c r="E29" s="49"/>
      <c r="F29" s="95"/>
      <c r="G29" s="96"/>
      <c r="H29" s="95"/>
      <c r="I29" s="7"/>
      <c r="J29" s="9"/>
      <c r="K29" s="9"/>
      <c r="L29" s="9"/>
      <c r="M29" s="9"/>
      <c r="N29" s="9"/>
      <c r="O29" s="9"/>
      <c r="Q29" s="12"/>
      <c r="R29" s="12"/>
      <c r="S29" s="12"/>
    </row>
    <row r="30" spans="2:19" x14ac:dyDescent="0.25">
      <c r="B30" s="97" t="s">
        <v>26</v>
      </c>
      <c r="C30" s="53" t="str">
        <f>IF(OR(C8&lt;=0,C9&lt;=0)," ",(C8*(C9/100))/(2000/8.3454))</f>
        <v xml:space="preserve"> </v>
      </c>
      <c r="D30" s="34" t="s">
        <v>60</v>
      </c>
      <c r="E30" s="53" t="str">
        <f>IF(OR(E8&lt;=0,E9&lt;=0)," ",E8*(E9/100))</f>
        <v xml:space="preserve"> </v>
      </c>
      <c r="F30" s="34" t="s">
        <v>60</v>
      </c>
      <c r="G30" s="98"/>
      <c r="H30" s="59"/>
      <c r="I30" s="7"/>
      <c r="K30" s="9"/>
      <c r="L30" s="9"/>
      <c r="M30" s="9"/>
      <c r="N30" s="9"/>
      <c r="O30" s="9"/>
      <c r="Q30" s="9"/>
      <c r="R30" s="9"/>
      <c r="S30" s="9"/>
    </row>
    <row r="31" spans="2:19" x14ac:dyDescent="0.25">
      <c r="B31" s="32" t="s">
        <v>14</v>
      </c>
      <c r="C31" s="53" t="str">
        <f>IF(OR(ISNUMBER(C10),ISNUMBER(C11),ISNUMBER(C12)), (((C10/100)-(C11/100))*(C22/100)*2000)+(C11/100)*((C24/100)*2000)+((C12/100)*2000)," ")</f>
        <v xml:space="preserve"> </v>
      </c>
      <c r="D31" s="34" t="s">
        <v>5</v>
      </c>
      <c r="E31" s="53" t="str">
        <f>IF(OR(ISNUMBER(E10),ISNUMBER(E11),ISNUMBER(E12)), (((E10/100)-(E11/100))*(E22/100)*2000)+(E11/100)*((E24/100)*2000)+((E12/100)*2000)," ")</f>
        <v xml:space="preserve"> </v>
      </c>
      <c r="F31" s="34" t="s">
        <v>5</v>
      </c>
      <c r="G31" s="99" t="str">
        <f xml:space="preserve"> IF(OR(ISNUMBER(G10),ISNUMBER(G11),ISNUMBER(G12)),(G10-G11)*(G22/100)+(G11*(G24/100))+G12," ")</f>
        <v xml:space="preserve"> </v>
      </c>
      <c r="H31" s="76" t="s">
        <v>35</v>
      </c>
      <c r="I31" s="7"/>
      <c r="K31" s="9"/>
      <c r="L31" s="9"/>
      <c r="M31" s="9"/>
      <c r="N31" s="9"/>
      <c r="Q31" s="9"/>
      <c r="R31" s="9"/>
      <c r="S31" s="9"/>
    </row>
    <row r="32" spans="2:19" x14ac:dyDescent="0.25">
      <c r="B32" s="100" t="s">
        <v>40</v>
      </c>
      <c r="C32" s="203" t="s">
        <v>28</v>
      </c>
      <c r="D32" s="204"/>
      <c r="E32" s="203" t="s">
        <v>28</v>
      </c>
      <c r="F32" s="204"/>
      <c r="G32" s="205" t="s">
        <v>28</v>
      </c>
      <c r="H32" s="204"/>
      <c r="I32" s="7"/>
      <c r="K32" s="9"/>
      <c r="L32" s="9"/>
      <c r="M32" s="9"/>
      <c r="Q32" s="9"/>
      <c r="R32" s="9"/>
      <c r="S32" s="9"/>
    </row>
    <row r="33" spans="2:19" x14ac:dyDescent="0.25">
      <c r="B33" s="101" t="s">
        <v>19</v>
      </c>
      <c r="C33" s="206" t="str">
        <f>IF(OR(C30=" ",C31=" ")," ",C30*C31)</f>
        <v xml:space="preserve"> </v>
      </c>
      <c r="D33" s="207"/>
      <c r="E33" s="206" t="str">
        <f>IF(OR(E30=" ",E31=" ")," ",E30*E31)</f>
        <v xml:space="preserve"> </v>
      </c>
      <c r="F33" s="207"/>
      <c r="G33" s="208" t="str">
        <f>IF(OR(G8&lt;=0,G31=" ")," ",(G8/1000000)*G31*8.3454)</f>
        <v xml:space="preserve"> </v>
      </c>
      <c r="H33" s="209"/>
      <c r="I33" s="7"/>
      <c r="K33" s="9"/>
      <c r="L33" s="9"/>
      <c r="M33" s="9"/>
      <c r="Q33" s="9"/>
      <c r="R33" s="9"/>
      <c r="S33" s="9"/>
    </row>
    <row r="34" spans="2:19" x14ac:dyDescent="0.25">
      <c r="B34" s="32" t="s">
        <v>21</v>
      </c>
      <c r="C34" s="206" t="str">
        <f>IF(C30=" "," ",IF(ISNUMBER(C13),C30*(C13*(2000/1000000))," "))</f>
        <v xml:space="preserve"> </v>
      </c>
      <c r="D34" s="207"/>
      <c r="E34" s="206" t="str">
        <f>IF(E30=" "," ",IF(ISNUMBER(E13),E30*(E13*(2000/1000000))," "))</f>
        <v xml:space="preserve"> </v>
      </c>
      <c r="F34" s="207"/>
      <c r="G34" s="210" t="str">
        <f>IF(G8&lt;=0," ",IF(ISNUMBER(G13),(G8/1000000)*G13*8.3454," "))</f>
        <v xml:space="preserve"> </v>
      </c>
      <c r="H34" s="211"/>
      <c r="I34" s="7"/>
      <c r="K34" s="9"/>
      <c r="L34" s="9"/>
      <c r="M34" s="9"/>
      <c r="Q34" s="9"/>
      <c r="R34" s="9"/>
      <c r="S34" s="9"/>
    </row>
    <row r="35" spans="2:19" x14ac:dyDescent="0.25">
      <c r="B35" s="32" t="s">
        <v>20</v>
      </c>
      <c r="C35" s="206" t="str">
        <f>IF(C30=" "," ",IF(ISNUMBER(C14),C30*(C14/100)*2000," "))</f>
        <v xml:space="preserve"> </v>
      </c>
      <c r="D35" s="207"/>
      <c r="E35" s="206" t="str">
        <f>IF(E30=" "," ",IF(ISNUMBER(E14),E30*(E14/100)*2000," "))</f>
        <v xml:space="preserve"> </v>
      </c>
      <c r="F35" s="207"/>
      <c r="G35" s="210" t="str">
        <f>IF(G8&lt;=0," ",IF(ISNUMBER(G14),(G8/1000000)*G14*8.3454," "))</f>
        <v xml:space="preserve"> </v>
      </c>
      <c r="H35" s="211"/>
      <c r="I35" s="7"/>
      <c r="K35" s="9"/>
      <c r="L35" s="9"/>
      <c r="Q35" s="9"/>
      <c r="R35" s="9"/>
      <c r="S35" s="9"/>
    </row>
    <row r="36" spans="2:19" x14ac:dyDescent="0.25">
      <c r="B36" s="32" t="s">
        <v>117</v>
      </c>
      <c r="C36" s="206" t="str">
        <f>IF(C30=" "," ",IF(ISNUMBER(C15),C30*(C15*(2000/1000000))," "))</f>
        <v xml:space="preserve"> </v>
      </c>
      <c r="D36" s="207"/>
      <c r="E36" s="206" t="str">
        <f>IF(E30=" "," ",IF(ISNUMBER(E15),E30*(E15*(2000/1000000))," "))</f>
        <v xml:space="preserve"> </v>
      </c>
      <c r="F36" s="207"/>
      <c r="G36" s="210" t="str">
        <f>IF(G8&lt;=0," ",IF(ISNUMBER(G15),(G8/1000000)*G15*8.3454," "))</f>
        <v xml:space="preserve"> </v>
      </c>
      <c r="H36" s="211"/>
      <c r="I36" s="1"/>
      <c r="Q36" s="9"/>
      <c r="R36" s="9"/>
      <c r="S36" s="9"/>
    </row>
    <row r="37" spans="2:19" x14ac:dyDescent="0.25">
      <c r="B37" s="32" t="s">
        <v>24</v>
      </c>
      <c r="C37" s="206" t="str">
        <f>IF(C30=" "," ",IF(ISNUMBER(C16),C30*(C16*(2000/1000000))," "))</f>
        <v xml:space="preserve"> </v>
      </c>
      <c r="D37" s="207"/>
      <c r="E37" s="212" t="str">
        <f>IF(E30=" "," ",IF(ISNUMBER(E16),E30*(E16*(2000/1000000))," "))</f>
        <v xml:space="preserve"> </v>
      </c>
      <c r="F37" s="213"/>
      <c r="G37" s="210" t="str">
        <f>IF(G8&lt;=0," ",IF(ISNUMBER(G16),(G8/1000000)*G16*8.3454," "))</f>
        <v xml:space="preserve"> </v>
      </c>
      <c r="H37" s="211"/>
      <c r="I37" s="1"/>
      <c r="Q37" s="9"/>
      <c r="R37" s="9"/>
      <c r="S37" s="9"/>
    </row>
    <row r="38" spans="2:19" x14ac:dyDescent="0.25">
      <c r="B38" s="32" t="s">
        <v>77</v>
      </c>
      <c r="C38" s="206" t="str">
        <f>IF(C30=" "," ",IF(ISNUMBER(C17),C30*(C17*(2000/1000000))," "))</f>
        <v xml:space="preserve"> </v>
      </c>
      <c r="D38" s="207"/>
      <c r="E38" s="212" t="str">
        <f>IF(E30=" "," ",IF(ISNUMBER(E17),E30*(E17*(2000/1000000))," "))</f>
        <v xml:space="preserve"> </v>
      </c>
      <c r="F38" s="213"/>
      <c r="G38" s="210" t="str">
        <f>IF(G8&lt;=0," ",IF(ISNUMBER(G17),(G8/1000000)*G17*8.3454," "))</f>
        <v xml:space="preserve"> </v>
      </c>
      <c r="H38" s="211"/>
      <c r="I38" s="1"/>
      <c r="Q38" s="9"/>
      <c r="R38" s="9"/>
      <c r="S38" s="9"/>
    </row>
    <row r="39" spans="2:19" x14ac:dyDescent="0.25">
      <c r="B39" s="32" t="str">
        <f>IF(ISTEXT(C19), "Total "&amp;C19&amp;" applied"," ")</f>
        <v xml:space="preserve"> </v>
      </c>
      <c r="C39" s="212" t="str">
        <f>IF(C30=" "," ",IF(ISNUMBER(C18),C30*(C18*(2000/1000000))," "))</f>
        <v xml:space="preserve"> </v>
      </c>
      <c r="D39" s="213"/>
      <c r="E39" s="212" t="str">
        <f>IF(E30=" "," ",IF(ISNUMBER(E18),E30*(E18*(2000/1000000))," "))</f>
        <v xml:space="preserve"> </v>
      </c>
      <c r="F39" s="213"/>
      <c r="G39" s="208" t="str">
        <f>IF(G8&lt;=0," ",IF(ISNUMBER(G18),(G8/1000000)*G18*8.3454," "))</f>
        <v xml:space="preserve"> </v>
      </c>
      <c r="H39" s="209"/>
      <c r="Q39" s="9"/>
      <c r="R39" s="9"/>
      <c r="S39" s="9"/>
    </row>
    <row r="40" spans="2:19" x14ac:dyDescent="0.25">
      <c r="B40" s="32" t="str">
        <f>IF(ISTEXT(C21), "Total "&amp;C21&amp;" applied"," ")</f>
        <v xml:space="preserve"> </v>
      </c>
      <c r="C40" s="212" t="str">
        <f>IF(C30=" "," ",IF(ISNUMBER(C20),C30*(C20*(2000/1000000))," "))</f>
        <v xml:space="preserve"> </v>
      </c>
      <c r="D40" s="213"/>
      <c r="E40" s="212" t="str">
        <f>IF(E30=" "," ",IF(ISNUMBER(E20),E30*(E20*(2000/1000000))," "))</f>
        <v xml:space="preserve"> </v>
      </c>
      <c r="F40" s="213"/>
      <c r="G40" s="208" t="str">
        <f>IF(G8&lt;=0," ",IF(ISNUMBER(G20),(G8/1000000)*G20*8.3454, " "))</f>
        <v xml:space="preserve"> </v>
      </c>
      <c r="H40" s="209"/>
      <c r="Q40" s="9"/>
      <c r="R40" s="9"/>
      <c r="S40" s="9"/>
    </row>
    <row r="41" spans="2:19" ht="15" customHeight="1" thickBot="1" x14ac:dyDescent="0.3">
      <c r="B41" s="102" t="s">
        <v>73</v>
      </c>
      <c r="C41" s="214" t="str">
        <f>IF(OR(C30=" ",C33=" ")," ",IF(C22&lt;100, (C30)*((C10-C11)/100)*(2000*(C22/100)*(C28/100))," "))</f>
        <v xml:space="preserve"> </v>
      </c>
      <c r="D41" s="215"/>
      <c r="E41" s="216" t="str">
        <f>IF(OR(E30=" ",E33=" ")," ",IF(E22&lt;100, E30*((E10-E11)/100)*(2000*(E22/100)*(E28/100))," "))</f>
        <v xml:space="preserve"> </v>
      </c>
      <c r="F41" s="217"/>
      <c r="G41" s="218" t="str">
        <f>IF(OR(G8&lt;=0,G31=" ")," ",IF(G22&lt;100,(G8/1000000)*8.3454*(G10-G11)*((G22/100)*(G28/100))," "))</f>
        <v xml:space="preserve"> </v>
      </c>
      <c r="H41" s="219"/>
    </row>
    <row r="42" spans="2:19" ht="15" customHeight="1" x14ac:dyDescent="0.25">
      <c r="B42" s="179" t="s">
        <v>167</v>
      </c>
      <c r="C42" s="179"/>
      <c r="D42" s="179"/>
      <c r="E42" s="179"/>
      <c r="F42" s="179"/>
      <c r="G42" s="179"/>
      <c r="H42" s="179"/>
    </row>
    <row r="43" spans="2:19" x14ac:dyDescent="0.25">
      <c r="B43" s="180"/>
      <c r="C43" s="180"/>
      <c r="D43" s="180"/>
      <c r="E43" s="180"/>
      <c r="F43" s="180"/>
      <c r="G43" s="180"/>
      <c r="H43" s="180"/>
    </row>
    <row r="44" spans="2:19" x14ac:dyDescent="0.25">
      <c r="B44" s="180"/>
      <c r="C44" s="180"/>
      <c r="D44" s="180"/>
      <c r="E44" s="180"/>
      <c r="F44" s="180"/>
      <c r="G44" s="180"/>
      <c r="H44" s="180"/>
    </row>
    <row r="45" spans="2:19" ht="17.25" customHeight="1" x14ac:dyDescent="0.25">
      <c r="B45" s="180"/>
      <c r="C45" s="180"/>
      <c r="D45" s="180"/>
      <c r="E45" s="180"/>
      <c r="F45" s="180"/>
      <c r="G45" s="180"/>
      <c r="H45" s="180"/>
    </row>
    <row r="46" spans="2:19" ht="15" customHeight="1" x14ac:dyDescent="0.25">
      <c r="B46" s="180"/>
      <c r="C46" s="180"/>
      <c r="D46" s="180"/>
      <c r="E46" s="180"/>
      <c r="F46" s="180"/>
      <c r="G46" s="180"/>
      <c r="H46" s="180"/>
    </row>
    <row r="47" spans="2:19" x14ac:dyDescent="0.25">
      <c r="B47" s="180"/>
      <c r="C47" s="180"/>
      <c r="D47" s="180"/>
      <c r="E47" s="180"/>
      <c r="F47" s="180"/>
      <c r="G47" s="180"/>
      <c r="H47" s="180"/>
    </row>
    <row r="48" spans="2:19" x14ac:dyDescent="0.25">
      <c r="B48" s="180"/>
      <c r="C48" s="180"/>
      <c r="D48" s="180"/>
      <c r="E48" s="180"/>
      <c r="F48" s="180"/>
      <c r="G48" s="180"/>
      <c r="H48" s="180"/>
    </row>
    <row r="49" spans="2:8" x14ac:dyDescent="0.25">
      <c r="B49" s="180"/>
      <c r="C49" s="180"/>
      <c r="D49" s="180"/>
      <c r="E49" s="180"/>
      <c r="F49" s="180"/>
      <c r="G49" s="180"/>
      <c r="H49" s="180"/>
    </row>
    <row r="50" spans="2:8" x14ac:dyDescent="0.25">
      <c r="B50" s="180"/>
      <c r="C50" s="180"/>
      <c r="D50" s="180"/>
      <c r="E50" s="180"/>
      <c r="F50" s="180"/>
      <c r="G50" s="180"/>
      <c r="H50" s="180"/>
    </row>
    <row r="51" spans="2:8" x14ac:dyDescent="0.25">
      <c r="B51" s="180"/>
      <c r="C51" s="180"/>
      <c r="D51" s="180"/>
      <c r="E51" s="180"/>
      <c r="F51" s="180"/>
      <c r="G51" s="180"/>
      <c r="H51" s="180"/>
    </row>
    <row r="52" spans="2:8" x14ac:dyDescent="0.25">
      <c r="B52" s="14"/>
      <c r="C52" s="14"/>
      <c r="D52" s="14"/>
      <c r="E52" s="14"/>
      <c r="F52" s="14"/>
    </row>
    <row r="53" spans="2:8" x14ac:dyDescent="0.25">
      <c r="B53" s="14"/>
      <c r="C53" s="14"/>
      <c r="D53" s="14"/>
      <c r="E53" s="14"/>
      <c r="F53" s="14"/>
    </row>
  </sheetData>
  <sheetProtection algorithmName="SHA-512" hashValue="1yb9ZyP+I1HpkSneMYO7DFSMXJrHJsVDHhEBWKaxACkLZw4/GG8750Ewnr9LJg+SXXBCazIprW3npnihy+ruSw==" saltValue="xpxUNnt3azhwO0b1wndLRQ==" spinCount="100000" sheet="1" objects="1" scenarios="1"/>
  <mergeCells count="43">
    <mergeCell ref="B42:H51"/>
    <mergeCell ref="C41:D41"/>
    <mergeCell ref="E41:F41"/>
    <mergeCell ref="G41:H41"/>
    <mergeCell ref="C38:D38"/>
    <mergeCell ref="E38:F38"/>
    <mergeCell ref="G38:H38"/>
    <mergeCell ref="C40:D40"/>
    <mergeCell ref="E40:F40"/>
    <mergeCell ref="G40:H40"/>
    <mergeCell ref="C37:D37"/>
    <mergeCell ref="E37:F37"/>
    <mergeCell ref="G37:H37"/>
    <mergeCell ref="C39:D39"/>
    <mergeCell ref="E39:F39"/>
    <mergeCell ref="G39:H39"/>
    <mergeCell ref="C35:D35"/>
    <mergeCell ref="E35:F35"/>
    <mergeCell ref="G35:H35"/>
    <mergeCell ref="C36:D36"/>
    <mergeCell ref="E36:F36"/>
    <mergeCell ref="G36:H36"/>
    <mergeCell ref="C33:D33"/>
    <mergeCell ref="E33:F33"/>
    <mergeCell ref="G33:H33"/>
    <mergeCell ref="C34:D34"/>
    <mergeCell ref="E34:F34"/>
    <mergeCell ref="G34:H34"/>
    <mergeCell ref="C19:D19"/>
    <mergeCell ref="C21:D21"/>
    <mergeCell ref="C32:D32"/>
    <mergeCell ref="E32:F32"/>
    <mergeCell ref="G32:H32"/>
    <mergeCell ref="B2:H2"/>
    <mergeCell ref="B3:H3"/>
    <mergeCell ref="B4:H4"/>
    <mergeCell ref="G5:H5"/>
    <mergeCell ref="C6:D6"/>
    <mergeCell ref="E6:F6"/>
    <mergeCell ref="G6:H6"/>
    <mergeCell ref="B5:B7"/>
    <mergeCell ref="C5:D5"/>
    <mergeCell ref="E5:F5"/>
  </mergeCells>
  <pageMargins left="0.7" right="0.7" top="0.75" bottom="0.75" header="0.3" footer="0.3"/>
  <pageSetup scale="62" fitToWidth="0" orientation="landscape" verticalDpi="1200" r:id="rId1"/>
  <headerFooter>
    <oddHeader>&amp;L&amp;G
&amp;RI&amp;"-,Bold"&amp;14ndustrial By-Product (IBP) Program</oddHeader>
    <oddFooter xml:space="preserve">&amp;L&amp;"Arial,Italic"&amp;8wq-lndapp2-09  •  1/31/23&amp;C&amp;"Arial,Italic"&amp;8•  www.pca.state.mn.us  •  Available in alternative formats  •  651-296-6300  •  800-657-3864  •  Use your preferred relay service&amp;R&amp;"Arial,Italic"&amp;8Page &amp;P of &amp;N&amp;"-,Regular"&amp;11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H48"/>
  <sheetViews>
    <sheetView showGridLines="0" zoomScaleNormal="100" workbookViewId="0">
      <selection activeCell="B2" sqref="B2:H2"/>
    </sheetView>
  </sheetViews>
  <sheetFormatPr defaultColWidth="9.140625" defaultRowHeight="15" x14ac:dyDescent="0.25"/>
  <cols>
    <col min="1" max="1" width="3" style="2" customWidth="1"/>
    <col min="2" max="2" width="47.28515625" style="2" customWidth="1"/>
    <col min="3" max="5" width="15.140625" style="2" customWidth="1"/>
    <col min="6" max="6" width="13.28515625" style="2" customWidth="1"/>
    <col min="7" max="8" width="15.28515625" style="2" customWidth="1"/>
    <col min="9" max="16384" width="9.140625" style="2"/>
  </cols>
  <sheetData>
    <row r="1" spans="2:8" ht="15.75" thickBot="1" x14ac:dyDescent="0.3"/>
    <row r="2" spans="2:8" ht="18.75" x14ac:dyDescent="0.3">
      <c r="B2" s="184" t="s">
        <v>123</v>
      </c>
      <c r="C2" s="185"/>
      <c r="D2" s="185"/>
      <c r="E2" s="185"/>
      <c r="F2" s="185"/>
      <c r="G2" s="185"/>
      <c r="H2" s="186"/>
    </row>
    <row r="3" spans="2:8" ht="79.5" customHeight="1" thickBot="1" x14ac:dyDescent="0.3">
      <c r="B3" s="222" t="s">
        <v>124</v>
      </c>
      <c r="C3" s="223"/>
      <c r="D3" s="223"/>
      <c r="E3" s="223"/>
      <c r="F3" s="223"/>
      <c r="G3" s="223"/>
      <c r="H3" s="224"/>
    </row>
    <row r="4" spans="2:8" ht="15.75" thickBot="1" x14ac:dyDescent="0.3">
      <c r="B4" s="231" t="s">
        <v>105</v>
      </c>
      <c r="C4" s="232"/>
      <c r="D4" s="232"/>
      <c r="E4" s="232"/>
      <c r="F4" s="232"/>
      <c r="G4" s="232"/>
      <c r="H4" s="233"/>
    </row>
    <row r="5" spans="2:8" ht="15.75" customHeight="1" thickBot="1" x14ac:dyDescent="0.3">
      <c r="B5" s="225" t="s">
        <v>17</v>
      </c>
      <c r="C5" s="227" t="s">
        <v>30</v>
      </c>
      <c r="D5" s="228"/>
      <c r="E5" s="227" t="s">
        <v>31</v>
      </c>
      <c r="F5" s="228"/>
      <c r="G5" s="220" t="s">
        <v>49</v>
      </c>
      <c r="H5" s="221"/>
    </row>
    <row r="6" spans="2:8" ht="15.75" customHeight="1" thickBot="1" x14ac:dyDescent="0.3">
      <c r="B6" s="225"/>
      <c r="C6" s="229" t="s">
        <v>91</v>
      </c>
      <c r="D6" s="230"/>
      <c r="E6" s="229" t="s">
        <v>94</v>
      </c>
      <c r="F6" s="230"/>
      <c r="G6" s="229" t="s">
        <v>95</v>
      </c>
      <c r="H6" s="230"/>
    </row>
    <row r="7" spans="2:8" ht="15.75" thickBot="1" x14ac:dyDescent="0.3">
      <c r="B7" s="226"/>
      <c r="C7" s="103" t="s">
        <v>7</v>
      </c>
      <c r="D7" s="104" t="s">
        <v>6</v>
      </c>
      <c r="E7" s="103" t="s">
        <v>7</v>
      </c>
      <c r="F7" s="25" t="s">
        <v>6</v>
      </c>
      <c r="G7" s="103" t="s">
        <v>7</v>
      </c>
      <c r="H7" s="25" t="s">
        <v>6</v>
      </c>
    </row>
    <row r="8" spans="2:8" x14ac:dyDescent="0.25">
      <c r="B8" s="97" t="s">
        <v>103</v>
      </c>
      <c r="C8" s="105"/>
      <c r="D8" s="106" t="s">
        <v>81</v>
      </c>
      <c r="E8" s="107"/>
      <c r="F8" s="108"/>
      <c r="G8" s="89"/>
      <c r="H8" s="76"/>
    </row>
    <row r="9" spans="2:8" x14ac:dyDescent="0.25">
      <c r="B9" s="97" t="s">
        <v>104</v>
      </c>
      <c r="C9" s="109"/>
      <c r="D9" s="106" t="s">
        <v>81</v>
      </c>
      <c r="E9" s="107"/>
      <c r="F9" s="108"/>
      <c r="G9" s="89"/>
      <c r="H9" s="76"/>
    </row>
    <row r="10" spans="2:8" x14ac:dyDescent="0.25">
      <c r="B10" s="97" t="s">
        <v>92</v>
      </c>
      <c r="C10" s="107"/>
      <c r="D10" s="106"/>
      <c r="E10" s="109"/>
      <c r="F10" s="108" t="s">
        <v>84</v>
      </c>
      <c r="G10" s="110"/>
      <c r="H10" s="76" t="s">
        <v>85</v>
      </c>
    </row>
    <row r="11" spans="2:8" x14ac:dyDescent="0.25">
      <c r="B11" s="97" t="s">
        <v>93</v>
      </c>
      <c r="C11" s="107"/>
      <c r="D11" s="106"/>
      <c r="E11" s="109"/>
      <c r="F11" s="108" t="s">
        <v>83</v>
      </c>
      <c r="G11" s="110"/>
      <c r="H11" s="76" t="s">
        <v>81</v>
      </c>
    </row>
    <row r="12" spans="2:8" x14ac:dyDescent="0.25">
      <c r="B12" s="97" t="s">
        <v>97</v>
      </c>
      <c r="C12" s="107"/>
      <c r="D12" s="106"/>
      <c r="E12" s="109"/>
      <c r="F12" s="108" t="s">
        <v>83</v>
      </c>
      <c r="G12" s="110"/>
      <c r="H12" s="76" t="s">
        <v>81</v>
      </c>
    </row>
    <row r="13" spans="2:8" x14ac:dyDescent="0.25">
      <c r="B13" s="97" t="s">
        <v>96</v>
      </c>
      <c r="C13" s="111" t="str">
        <f>IF(AND(ISNUMBER(C8),ISNUMBER(C9)),C9-C8," ")</f>
        <v xml:space="preserve"> </v>
      </c>
      <c r="D13" s="106" t="s">
        <v>81</v>
      </c>
      <c r="E13" s="111" t="str">
        <f>IF(AND(ISNUMBER(E10),ISNUMBER(E11),ISNUMBER(E12)),(E12-E11)*2000," ")</f>
        <v xml:space="preserve"> </v>
      </c>
      <c r="F13" s="108" t="s">
        <v>81</v>
      </c>
      <c r="G13" s="112" t="str">
        <f>IF(AND(ISNUMBER(G10),ISNUMBER(G11),ISNUMBER(G12)),G12-G11," ")</f>
        <v xml:space="preserve"> </v>
      </c>
      <c r="H13" s="76" t="s">
        <v>81</v>
      </c>
    </row>
    <row r="14" spans="2:8" ht="15.75" thickBot="1" x14ac:dyDescent="0.3">
      <c r="B14" s="97" t="s">
        <v>98</v>
      </c>
      <c r="C14" s="113" t="str">
        <f>IF(ISNUMBER(C13),C13/5," ")</f>
        <v xml:space="preserve"> </v>
      </c>
      <c r="D14" s="106" t="s">
        <v>82</v>
      </c>
      <c r="E14" s="113" t="str">
        <f>IF(ISNUMBER(E13),(E13/(E10*201.974))," ")</f>
        <v xml:space="preserve"> </v>
      </c>
      <c r="F14" s="108" t="s">
        <v>82</v>
      </c>
      <c r="G14" s="114" t="str">
        <f>IF(ISNUMBER(G13),G13/G10," ")</f>
        <v xml:space="preserve"> </v>
      </c>
      <c r="H14" s="76" t="s">
        <v>82</v>
      </c>
    </row>
    <row r="15" spans="2:8" ht="15.75" thickBot="1" x14ac:dyDescent="0.3">
      <c r="B15" s="115" t="s">
        <v>99</v>
      </c>
      <c r="C15" s="116" t="str">
        <f>IF(OR(AND(ISNUMBER(C14),ISNUMBER(E14)),AND(ISNUMBER(C14),ISNUMBER(G14)),AND(ISNUMBER(E14),ISNUMBER(G14))),"ERROR",IF(ISNUMBER(C14),C14,IF(ISNUMBER(E14),E14,IF(ISNUMBER(G14),G14," "))))</f>
        <v xml:space="preserve"> </v>
      </c>
      <c r="D15" s="117" t="s">
        <v>82</v>
      </c>
      <c r="E15" s="118"/>
      <c r="F15" s="119"/>
      <c r="G15" s="26"/>
      <c r="H15" s="25"/>
    </row>
    <row r="16" spans="2:8" x14ac:dyDescent="0.25">
      <c r="B16" s="3"/>
      <c r="C16" s="4"/>
      <c r="D16" s="4"/>
      <c r="E16" s="4"/>
      <c r="F16" s="5"/>
      <c r="G16" s="6"/>
      <c r="H16" s="6"/>
    </row>
    <row r="17" spans="2:8" x14ac:dyDescent="0.25">
      <c r="G17" s="6"/>
      <c r="H17" s="6"/>
    </row>
    <row r="18" spans="2:8" x14ac:dyDescent="0.25">
      <c r="B18" s="3"/>
      <c r="G18" s="6"/>
      <c r="H18" s="6"/>
    </row>
    <row r="19" spans="2:8" x14ac:dyDescent="0.25">
      <c r="G19" s="6"/>
      <c r="H19" s="6"/>
    </row>
    <row r="20" spans="2:8" x14ac:dyDescent="0.25">
      <c r="G20" s="6"/>
      <c r="H20" s="6"/>
    </row>
    <row r="21" spans="2:8" x14ac:dyDescent="0.25">
      <c r="G21" s="6"/>
      <c r="H21" s="6"/>
    </row>
    <row r="22" spans="2:8" x14ac:dyDescent="0.25">
      <c r="G22" s="6"/>
      <c r="H22" s="6"/>
    </row>
    <row r="38" spans="2:2" ht="15" customHeight="1" x14ac:dyDescent="0.25"/>
    <row r="40" spans="2:2" x14ac:dyDescent="0.25">
      <c r="B40" s="8"/>
    </row>
    <row r="41" spans="2:2" ht="15" customHeight="1" x14ac:dyDescent="0.25">
      <c r="B41" s="14"/>
    </row>
    <row r="42" spans="2:2" x14ac:dyDescent="0.25">
      <c r="B42" s="14"/>
    </row>
    <row r="43" spans="2:2" x14ac:dyDescent="0.25">
      <c r="B43" s="14"/>
    </row>
    <row r="44" spans="2:2" x14ac:dyDescent="0.25">
      <c r="B44" s="14"/>
    </row>
    <row r="45" spans="2:2" x14ac:dyDescent="0.25">
      <c r="B45" s="14"/>
    </row>
    <row r="46" spans="2:2" x14ac:dyDescent="0.25">
      <c r="B46" s="14"/>
    </row>
    <row r="47" spans="2:2" x14ac:dyDescent="0.25">
      <c r="B47" s="14"/>
    </row>
    <row r="48" spans="2:2" x14ac:dyDescent="0.25">
      <c r="B48" s="14"/>
    </row>
  </sheetData>
  <sheetProtection algorithmName="SHA-512" hashValue="z6dy/F6mpvSCaJwSrYA5ja84sKy8N6BYJShajWQ7QM0juXYshS9NBqolvDQsP5DZr6BufA9GZav/hNtIv31R9A==" saltValue="EIGFLNr/s33yemCay53ggQ==" spinCount="100000" sheet="1" objects="1" scenarios="1"/>
  <mergeCells count="10">
    <mergeCell ref="G5:H5"/>
    <mergeCell ref="B2:H2"/>
    <mergeCell ref="B3:H3"/>
    <mergeCell ref="B5:B7"/>
    <mergeCell ref="E5:F5"/>
    <mergeCell ref="C5:D5"/>
    <mergeCell ref="C6:D6"/>
    <mergeCell ref="E6:F6"/>
    <mergeCell ref="B4:H4"/>
    <mergeCell ref="G6:H6"/>
  </mergeCells>
  <pageMargins left="0.7" right="0.7" top="0.75" bottom="0.75" header="0.3" footer="0.3"/>
  <pageSetup scale="87" orientation="landscape" verticalDpi="1200" r:id="rId1"/>
  <headerFooter>
    <oddHeader>&amp;L&amp;G
&amp;R&amp;"-,Bold"&amp;14Industrial By-Product (IBP) Program</oddHeader>
    <oddFooter>&amp;L&amp;"Arial,Italic"&amp;8wq-lndapp2-09  •  1/31/23&amp;C&amp;"Arial,Italic"&amp;8•  www.pca.state.mn.us  •  Available in alternative formats  •  651-296-6300  •  800-657-3864  •  Use your preferred relay service&amp;R&amp;"Arial,Italic"&amp;8Page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A72B-D6AB-4652-91E4-78C113E669B5}">
  <sheetPr>
    <pageSetUpPr fitToPage="1"/>
  </sheetPr>
  <dimension ref="B1:D52"/>
  <sheetViews>
    <sheetView showGridLines="0" zoomScaleNormal="100" workbookViewId="0">
      <selection activeCell="B2" sqref="B2:D2"/>
    </sheetView>
  </sheetViews>
  <sheetFormatPr defaultColWidth="9.140625" defaultRowHeight="15" x14ac:dyDescent="0.25"/>
  <cols>
    <col min="1" max="1" width="3" style="2" customWidth="1"/>
    <col min="2" max="2" width="72" style="2" customWidth="1"/>
    <col min="3" max="4" width="12.42578125" style="2" customWidth="1"/>
    <col min="5" max="16384" width="9.140625" style="2"/>
  </cols>
  <sheetData>
    <row r="1" spans="2:4" ht="15.75" thickBot="1" x14ac:dyDescent="0.3"/>
    <row r="2" spans="2:4" ht="18.75" x14ac:dyDescent="0.3">
      <c r="B2" s="184" t="s">
        <v>121</v>
      </c>
      <c r="C2" s="185"/>
      <c r="D2" s="186"/>
    </row>
    <row r="3" spans="2:4" ht="63.75" customHeight="1" thickBot="1" x14ac:dyDescent="0.3">
      <c r="B3" s="234" t="s">
        <v>126</v>
      </c>
      <c r="C3" s="235"/>
      <c r="D3" s="236"/>
    </row>
    <row r="4" spans="2:4" ht="15.75" thickBot="1" x14ac:dyDescent="0.3">
      <c r="B4" s="176" t="s">
        <v>105</v>
      </c>
      <c r="C4" s="177"/>
      <c r="D4" s="178"/>
    </row>
    <row r="5" spans="2:4" ht="15.75" customHeight="1" x14ac:dyDescent="0.25">
      <c r="B5" s="181" t="s">
        <v>17</v>
      </c>
      <c r="C5" s="239" t="s">
        <v>37</v>
      </c>
      <c r="D5" s="240"/>
    </row>
    <row r="6" spans="2:4" ht="15.75" customHeight="1" thickBot="1" x14ac:dyDescent="0.3">
      <c r="B6" s="182"/>
      <c r="C6" s="241"/>
      <c r="D6" s="242"/>
    </row>
    <row r="7" spans="2:4" ht="15.75" thickBot="1" x14ac:dyDescent="0.3">
      <c r="B7" s="183"/>
      <c r="C7" s="24" t="s">
        <v>7</v>
      </c>
      <c r="D7" s="25" t="s">
        <v>6</v>
      </c>
    </row>
    <row r="8" spans="2:4" x14ac:dyDescent="0.25">
      <c r="B8" s="120" t="s">
        <v>125</v>
      </c>
      <c r="C8" s="121" t="str">
        <f>IF(ISNUMBER('Wet Density Calculator'!C15),'Wet Density Calculator'!C15," ")</f>
        <v xml:space="preserve"> </v>
      </c>
      <c r="D8" s="29" t="s">
        <v>82</v>
      </c>
    </row>
    <row r="9" spans="2:4" x14ac:dyDescent="0.25">
      <c r="B9" s="27" t="s">
        <v>1</v>
      </c>
      <c r="C9" s="122"/>
      <c r="D9" s="34" t="s">
        <v>0</v>
      </c>
    </row>
    <row r="10" spans="2:4" x14ac:dyDescent="0.25">
      <c r="B10" s="32" t="s">
        <v>114</v>
      </c>
      <c r="C10" s="33"/>
      <c r="D10" s="34" t="s">
        <v>0</v>
      </c>
    </row>
    <row r="11" spans="2:4" x14ac:dyDescent="0.25">
      <c r="B11" s="32" t="s">
        <v>2</v>
      </c>
      <c r="C11" s="33"/>
      <c r="D11" s="34" t="s">
        <v>0</v>
      </c>
    </row>
    <row r="12" spans="2:4" x14ac:dyDescent="0.25">
      <c r="B12" s="32" t="s">
        <v>12</v>
      </c>
      <c r="C12" s="33"/>
      <c r="D12" s="34" t="s">
        <v>0</v>
      </c>
    </row>
    <row r="13" spans="2:4" x14ac:dyDescent="0.25">
      <c r="B13" s="32" t="s">
        <v>4</v>
      </c>
      <c r="C13" s="33"/>
      <c r="D13" s="34" t="s">
        <v>3</v>
      </c>
    </row>
    <row r="14" spans="2:4" x14ac:dyDescent="0.25">
      <c r="B14" s="32" t="s">
        <v>23</v>
      </c>
      <c r="C14" s="33"/>
      <c r="D14" s="34" t="s">
        <v>3</v>
      </c>
    </row>
    <row r="15" spans="2:4" x14ac:dyDescent="0.25">
      <c r="B15" s="32" t="s">
        <v>158</v>
      </c>
      <c r="C15" s="33"/>
      <c r="D15" s="34" t="s">
        <v>3</v>
      </c>
    </row>
    <row r="16" spans="2:4" x14ac:dyDescent="0.25">
      <c r="B16" s="35" t="s">
        <v>75</v>
      </c>
      <c r="C16" s="36"/>
      <c r="D16" s="34" t="s">
        <v>74</v>
      </c>
    </row>
    <row r="17" spans="2:4" x14ac:dyDescent="0.25">
      <c r="B17" s="35" t="s">
        <v>86</v>
      </c>
      <c r="C17" s="237"/>
      <c r="D17" s="238"/>
    </row>
    <row r="18" spans="2:4" x14ac:dyDescent="0.25">
      <c r="B18" s="32" t="s">
        <v>159</v>
      </c>
      <c r="C18" s="38"/>
      <c r="D18" s="34" t="s">
        <v>0</v>
      </c>
    </row>
    <row r="19" spans="2:4" x14ac:dyDescent="0.25">
      <c r="B19" s="35" t="s">
        <v>8</v>
      </c>
      <c r="C19" s="40"/>
      <c r="D19" s="34"/>
    </row>
    <row r="20" spans="2:4" x14ac:dyDescent="0.25">
      <c r="B20" s="27" t="s">
        <v>160</v>
      </c>
      <c r="C20" s="39"/>
      <c r="D20" s="34" t="s">
        <v>0</v>
      </c>
    </row>
    <row r="21" spans="2:4" x14ac:dyDescent="0.25">
      <c r="B21" s="35" t="s">
        <v>9</v>
      </c>
      <c r="C21" s="40"/>
      <c r="D21" s="34"/>
    </row>
    <row r="22" spans="2:4" x14ac:dyDescent="0.25">
      <c r="B22" s="35" t="s">
        <v>10</v>
      </c>
      <c r="C22" s="40"/>
      <c r="D22" s="34"/>
    </row>
    <row r="23" spans="2:4" x14ac:dyDescent="0.25">
      <c r="B23" s="32" t="s">
        <v>119</v>
      </c>
      <c r="C23" s="46"/>
      <c r="D23" s="34" t="s">
        <v>15</v>
      </c>
    </row>
    <row r="24" spans="2:4" x14ac:dyDescent="0.25">
      <c r="B24" s="32" t="s">
        <v>11</v>
      </c>
      <c r="C24" s="46"/>
      <c r="D24" s="34" t="s">
        <v>15</v>
      </c>
    </row>
    <row r="25" spans="2:4" x14ac:dyDescent="0.25">
      <c r="B25" s="35" t="s">
        <v>175</v>
      </c>
      <c r="C25" s="123"/>
      <c r="D25" s="34"/>
    </row>
    <row r="26" spans="2:4" x14ac:dyDescent="0.25">
      <c r="B26" s="45" t="s">
        <v>161</v>
      </c>
      <c r="C26" s="46"/>
      <c r="D26" s="34" t="s">
        <v>89</v>
      </c>
    </row>
    <row r="27" spans="2:4" ht="15.75" thickBot="1" x14ac:dyDescent="0.3">
      <c r="B27" s="35" t="s">
        <v>90</v>
      </c>
      <c r="C27" s="42"/>
      <c r="D27" s="43"/>
    </row>
    <row r="28" spans="2:4" x14ac:dyDescent="0.25">
      <c r="B28" s="124" t="s">
        <v>115</v>
      </c>
      <c r="C28" s="49"/>
      <c r="D28" s="50"/>
    </row>
    <row r="29" spans="2:4" x14ac:dyDescent="0.25">
      <c r="B29" s="32" t="s">
        <v>14</v>
      </c>
      <c r="C29" s="53" t="str">
        <f>IF(OR(ISNUMBER(C10), ISNUMBER(C11),ISNUMBER(C12)),(((C10/100)-(C11/100))*(C18/100)*2000)+((C11/100)*(C20/100)*2000)+((C12/100)*2000)," ")</f>
        <v xml:space="preserve"> </v>
      </c>
      <c r="D29" s="34" t="s">
        <v>5</v>
      </c>
    </row>
    <row r="30" spans="2:4" x14ac:dyDescent="0.25">
      <c r="B30" s="32" t="s">
        <v>41</v>
      </c>
      <c r="C30" s="53" t="str">
        <f>IF(ISNUMBER(C23),IF(C23-C24&lt;=0,0,C23-C24)," ")</f>
        <v xml:space="preserve"> </v>
      </c>
      <c r="D30" s="34" t="s">
        <v>15</v>
      </c>
    </row>
    <row r="31" spans="2:4" ht="24.75" x14ac:dyDescent="0.25">
      <c r="B31" s="56" t="s">
        <v>25</v>
      </c>
      <c r="C31" s="57" t="s">
        <v>16</v>
      </c>
      <c r="D31" s="58" t="s">
        <v>107</v>
      </c>
    </row>
    <row r="32" spans="2:4" x14ac:dyDescent="0.25">
      <c r="B32" s="32" t="s">
        <v>106</v>
      </c>
      <c r="C32" s="60" t="str">
        <f>IF(OR(C8=" ",D32=" ")," ",(D32*2000)/$C$8)</f>
        <v xml:space="preserve"> </v>
      </c>
      <c r="D32" s="61" t="str">
        <f>IF(OR(C8=" ",C9&lt;=0,C29&lt;=0,C29=" ")," ",IF(OR(C30=" ",C30&lt;=0),0,((C30/C29)/(C9/100))))</f>
        <v xml:space="preserve"> </v>
      </c>
    </row>
    <row r="33" spans="2:4" x14ac:dyDescent="0.25">
      <c r="B33" s="32" t="s">
        <v>42</v>
      </c>
      <c r="C33" s="60" t="str">
        <f>IF(OR(C8=" ",D33=" ")," ",(D33*2000)/$C$8)</f>
        <v xml:space="preserve"> </v>
      </c>
      <c r="D33" s="64" t="str">
        <f>IF(OR(C8=" ",C9&lt;=0,C13&lt;=0)," ",IF(C26&gt;=170,0,((170-C26)/(C13*(2000/1000000))/(C9/100))))</f>
        <v xml:space="preserve"> </v>
      </c>
    </row>
    <row r="34" spans="2:4" x14ac:dyDescent="0.25">
      <c r="B34" s="32" t="s">
        <v>162</v>
      </c>
      <c r="C34" s="60" t="str">
        <f>IF(OR(C8=" ",D34=" ")," ",(D34*2000)/$C$8)</f>
        <v xml:space="preserve"> </v>
      </c>
      <c r="D34" s="61" t="str">
        <f>IF(OR(C8=" ",C9&lt;=0,C14&lt;=0)," ",(1500/(C14*(2000/1000000))/(C9/100)))</f>
        <v xml:space="preserve"> </v>
      </c>
    </row>
    <row r="35" spans="2:4" ht="15.75" thickBot="1" x14ac:dyDescent="0.3">
      <c r="B35" s="102" t="str">
        <f>IF(ISTEXT(C17), "Based on "&amp;C17&amp;" addition ("&amp;C16 &amp;" lb/ac limit)"," ")</f>
        <v xml:space="preserve"> </v>
      </c>
      <c r="C35" s="125" t="str">
        <f>IF(OR(C8=" ",D35=" ")," ",(D35*2000)/$C$8)</f>
        <v xml:space="preserve"> </v>
      </c>
      <c r="D35" s="66" t="str">
        <f>IF(OR(C8=" ",C9&lt;=0,C15&lt;=0)," ",(C16/(C15*(2000/1000000))/(C9/100)))</f>
        <v xml:space="preserve"> </v>
      </c>
    </row>
    <row r="36" spans="2:4" ht="15.75" thickBot="1" x14ac:dyDescent="0.3">
      <c r="B36" s="68" t="s">
        <v>38</v>
      </c>
      <c r="C36" s="126" t="str">
        <f>IF(OR(ISNUMBER(C32),ISNUMBER(C33),ISNUMBER(C35)),MIN(C32,C33,C35)," ")</f>
        <v xml:space="preserve"> </v>
      </c>
      <c r="D36" s="127" t="str">
        <f>IF(OR(ISNUMBER(D32),ISNUMBER(D33),ISNUMBER(D35)),MIN(D32,D33,D35)," ")</f>
        <v xml:space="preserve"> </v>
      </c>
    </row>
    <row r="37" spans="2:4" ht="15" customHeight="1" x14ac:dyDescent="0.25">
      <c r="B37" s="179" t="s">
        <v>168</v>
      </c>
      <c r="C37" s="179"/>
      <c r="D37" s="179"/>
    </row>
    <row r="38" spans="2:4" x14ac:dyDescent="0.25">
      <c r="B38" s="180"/>
      <c r="C38" s="180"/>
      <c r="D38" s="180"/>
    </row>
    <row r="39" spans="2:4" x14ac:dyDescent="0.25">
      <c r="B39" s="180"/>
      <c r="C39" s="180"/>
      <c r="D39" s="180"/>
    </row>
    <row r="40" spans="2:4" ht="15" customHeight="1" x14ac:dyDescent="0.25">
      <c r="B40" s="180"/>
      <c r="C40" s="180"/>
      <c r="D40" s="180"/>
    </row>
    <row r="41" spans="2:4" x14ac:dyDescent="0.25">
      <c r="B41" s="180"/>
      <c r="C41" s="180"/>
      <c r="D41" s="180"/>
    </row>
    <row r="42" spans="2:4" x14ac:dyDescent="0.25">
      <c r="B42" s="180"/>
      <c r="C42" s="180"/>
      <c r="D42" s="180"/>
    </row>
    <row r="43" spans="2:4" x14ac:dyDescent="0.25">
      <c r="B43" s="180"/>
      <c r="C43" s="180"/>
      <c r="D43" s="180"/>
    </row>
    <row r="44" spans="2:4" x14ac:dyDescent="0.25">
      <c r="B44" s="180"/>
      <c r="C44" s="180"/>
      <c r="D44" s="180"/>
    </row>
    <row r="45" spans="2:4" x14ac:dyDescent="0.25">
      <c r="B45" s="180"/>
      <c r="C45" s="180"/>
      <c r="D45" s="180"/>
    </row>
    <row r="46" spans="2:4" x14ac:dyDescent="0.25">
      <c r="B46" s="180"/>
      <c r="C46" s="180"/>
      <c r="D46" s="180"/>
    </row>
    <row r="47" spans="2:4" x14ac:dyDescent="0.25">
      <c r="B47" s="180"/>
      <c r="C47" s="180"/>
      <c r="D47" s="180"/>
    </row>
    <row r="48" spans="2:4" x14ac:dyDescent="0.25">
      <c r="B48" s="180"/>
      <c r="C48" s="180"/>
      <c r="D48" s="180"/>
    </row>
    <row r="49" spans="2:4" x14ac:dyDescent="0.25">
      <c r="B49" s="180"/>
      <c r="C49" s="180"/>
      <c r="D49" s="180"/>
    </row>
    <row r="50" spans="2:4" x14ac:dyDescent="0.25">
      <c r="B50" s="14"/>
      <c r="C50" s="14"/>
      <c r="D50" s="14"/>
    </row>
    <row r="51" spans="2:4" x14ac:dyDescent="0.25">
      <c r="B51" s="14"/>
      <c r="C51" s="14"/>
      <c r="D51" s="14"/>
    </row>
    <row r="52" spans="2:4" x14ac:dyDescent="0.25">
      <c r="B52" s="14"/>
      <c r="C52" s="14"/>
      <c r="D52" s="14"/>
    </row>
  </sheetData>
  <sheetProtection algorithmName="SHA-512" hashValue="m+KpmQUW5rBUputli+wRhnY0uVHQmKOxcvvKVrsdMlKztkNDTTWKrK6m9ETxSokCZiivim4z6+C4bc5cWKuHXQ==" saltValue="izwIiHnYVVghH94MuMg4bg==" spinCount="100000" sheet="1" objects="1" scenarios="1"/>
  <mergeCells count="7">
    <mergeCell ref="B37:D49"/>
    <mergeCell ref="B2:D2"/>
    <mergeCell ref="B3:D3"/>
    <mergeCell ref="C17:D17"/>
    <mergeCell ref="B4:D4"/>
    <mergeCell ref="B5:B7"/>
    <mergeCell ref="C5:D6"/>
  </mergeCells>
  <pageMargins left="0.7" right="0.7" top="0.75" bottom="0.75" header="0.3" footer="0.3"/>
  <pageSetup scale="88" orientation="portrait" verticalDpi="1200" r:id="rId1"/>
  <headerFooter>
    <oddHeader>&amp;L&amp;G
&amp;R&amp;"-,Bold"&amp;14Industrial By-Product (IBP) Program</oddHeader>
    <oddFooter>&amp;L&amp;"Arial,Italic"&amp;8wq-lndapp2-09&amp;C&amp;"Arial,Italic"&amp;8•  www.pca.state.mn.us  •  Available in alternative formats  •  651-296-6300  •  800-657-3864  •  Use your preferred relay service&amp;R&amp;"Arial,Italic"&amp;8Page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F00E2-D8BC-4AD7-B51F-4DAC00F8D7CA}">
  <sheetPr>
    <pageSetUpPr fitToPage="1"/>
  </sheetPr>
  <dimension ref="B1:F53"/>
  <sheetViews>
    <sheetView showGridLines="0" zoomScaleNormal="100" workbookViewId="0">
      <selection activeCell="C8" sqref="C8"/>
    </sheetView>
  </sheetViews>
  <sheetFormatPr defaultColWidth="9.140625" defaultRowHeight="15" x14ac:dyDescent="0.25"/>
  <cols>
    <col min="1" max="1" width="3" style="2" customWidth="1"/>
    <col min="2" max="2" width="77" style="2" customWidth="1"/>
    <col min="3" max="6" width="12.5703125" style="2" customWidth="1"/>
    <col min="7" max="16384" width="9.140625" style="2"/>
  </cols>
  <sheetData>
    <row r="1" spans="2:6" ht="15.75" thickBot="1" x14ac:dyDescent="0.3"/>
    <row r="2" spans="2:6" ht="18.75" x14ac:dyDescent="0.3">
      <c r="B2" s="184" t="s">
        <v>122</v>
      </c>
      <c r="C2" s="185"/>
      <c r="D2" s="185"/>
      <c r="E2" s="185"/>
      <c r="F2" s="186"/>
    </row>
    <row r="3" spans="2:6" ht="66" customHeight="1" thickBot="1" x14ac:dyDescent="0.3">
      <c r="B3" s="234" t="s">
        <v>127</v>
      </c>
      <c r="C3" s="235"/>
      <c r="D3" s="235"/>
      <c r="E3" s="235"/>
      <c r="F3" s="236"/>
    </row>
    <row r="4" spans="2:6" ht="15.75" thickBot="1" x14ac:dyDescent="0.3">
      <c r="B4" s="176" t="s">
        <v>105</v>
      </c>
      <c r="C4" s="177"/>
      <c r="D4" s="177"/>
      <c r="E4" s="177"/>
      <c r="F4" s="178"/>
    </row>
    <row r="5" spans="2:6" ht="15.75" customHeight="1" thickBot="1" x14ac:dyDescent="0.3">
      <c r="B5" s="181" t="s">
        <v>17</v>
      </c>
      <c r="C5" s="187" t="s">
        <v>30</v>
      </c>
      <c r="D5" s="188"/>
      <c r="E5" s="197" t="s">
        <v>31</v>
      </c>
      <c r="F5" s="198"/>
    </row>
    <row r="6" spans="2:6" ht="15.75" customHeight="1" thickBot="1" x14ac:dyDescent="0.3">
      <c r="B6" s="182"/>
      <c r="C6" s="196" t="s">
        <v>37</v>
      </c>
      <c r="D6" s="195"/>
      <c r="E6" s="196" t="s">
        <v>37</v>
      </c>
      <c r="F6" s="195"/>
    </row>
    <row r="7" spans="2:6" ht="15.75" thickBot="1" x14ac:dyDescent="0.3">
      <c r="B7" s="183"/>
      <c r="C7" s="26" t="s">
        <v>7</v>
      </c>
      <c r="D7" s="25" t="s">
        <v>6</v>
      </c>
      <c r="E7" s="26" t="s">
        <v>7</v>
      </c>
      <c r="F7" s="25" t="s">
        <v>6</v>
      </c>
    </row>
    <row r="8" spans="2:6" x14ac:dyDescent="0.25">
      <c r="B8" s="128" t="s">
        <v>39</v>
      </c>
      <c r="C8" s="73"/>
      <c r="D8" s="29" t="s">
        <v>34</v>
      </c>
      <c r="E8" s="28"/>
      <c r="F8" s="29" t="s">
        <v>27</v>
      </c>
    </row>
    <row r="9" spans="2:6" x14ac:dyDescent="0.25">
      <c r="B9" s="129" t="s">
        <v>125</v>
      </c>
      <c r="C9" s="130" t="str">
        <f>IF(ISNUMBER('Wet Density Calculator'!C15),'Wet Density Calculator'!C15," ")</f>
        <v xml:space="preserve"> </v>
      </c>
      <c r="D9" s="34" t="s">
        <v>82</v>
      </c>
      <c r="E9" s="37"/>
      <c r="F9" s="34"/>
    </row>
    <row r="10" spans="2:6" x14ac:dyDescent="0.25">
      <c r="B10" s="131" t="s">
        <v>1</v>
      </c>
      <c r="C10" s="33"/>
      <c r="D10" s="34" t="s">
        <v>0</v>
      </c>
      <c r="E10" s="33"/>
      <c r="F10" s="34" t="s">
        <v>0</v>
      </c>
    </row>
    <row r="11" spans="2:6" x14ac:dyDescent="0.25">
      <c r="B11" s="129" t="s">
        <v>114</v>
      </c>
      <c r="C11" s="33"/>
      <c r="D11" s="34" t="s">
        <v>0</v>
      </c>
      <c r="E11" s="33"/>
      <c r="F11" s="34" t="s">
        <v>0</v>
      </c>
    </row>
    <row r="12" spans="2:6" x14ac:dyDescent="0.25">
      <c r="B12" s="129" t="s">
        <v>2</v>
      </c>
      <c r="C12" s="33"/>
      <c r="D12" s="34" t="s">
        <v>0</v>
      </c>
      <c r="E12" s="33"/>
      <c r="F12" s="34" t="s">
        <v>0</v>
      </c>
    </row>
    <row r="13" spans="2:6" x14ac:dyDescent="0.25">
      <c r="B13" s="129" t="s">
        <v>12</v>
      </c>
      <c r="C13" s="33"/>
      <c r="D13" s="34" t="s">
        <v>0</v>
      </c>
      <c r="E13" s="33"/>
      <c r="F13" s="34" t="s">
        <v>0</v>
      </c>
    </row>
    <row r="14" spans="2:6" x14ac:dyDescent="0.25">
      <c r="B14" s="129" t="s">
        <v>4</v>
      </c>
      <c r="C14" s="33"/>
      <c r="D14" s="34" t="s">
        <v>3</v>
      </c>
      <c r="E14" s="33"/>
      <c r="F14" s="34" t="s">
        <v>3</v>
      </c>
    </row>
    <row r="15" spans="2:6" x14ac:dyDescent="0.25">
      <c r="B15" s="129" t="s">
        <v>18</v>
      </c>
      <c r="C15" s="33"/>
      <c r="D15" s="34" t="s">
        <v>0</v>
      </c>
      <c r="E15" s="33"/>
      <c r="F15" s="34" t="s">
        <v>0</v>
      </c>
    </row>
    <row r="16" spans="2:6" x14ac:dyDescent="0.25">
      <c r="B16" s="129" t="s">
        <v>116</v>
      </c>
      <c r="C16" s="78"/>
      <c r="D16" s="34" t="s">
        <v>3</v>
      </c>
      <c r="E16" s="33"/>
      <c r="F16" s="34" t="s">
        <v>3</v>
      </c>
    </row>
    <row r="17" spans="2:6" x14ac:dyDescent="0.25">
      <c r="B17" s="129" t="s">
        <v>23</v>
      </c>
      <c r="C17" s="78"/>
      <c r="D17" s="34" t="s">
        <v>3</v>
      </c>
      <c r="E17" s="33"/>
      <c r="F17" s="34" t="s">
        <v>3</v>
      </c>
    </row>
    <row r="18" spans="2:6" x14ac:dyDescent="0.25">
      <c r="B18" s="129" t="s">
        <v>76</v>
      </c>
      <c r="C18" s="79"/>
      <c r="D18" s="34" t="s">
        <v>3</v>
      </c>
      <c r="E18" s="33"/>
      <c r="F18" s="34" t="s">
        <v>3</v>
      </c>
    </row>
    <row r="19" spans="2:6" x14ac:dyDescent="0.25">
      <c r="B19" s="129" t="s">
        <v>164</v>
      </c>
      <c r="C19" s="79"/>
      <c r="D19" s="34" t="s">
        <v>3</v>
      </c>
      <c r="E19" s="33"/>
      <c r="F19" s="34" t="s">
        <v>3</v>
      </c>
    </row>
    <row r="20" spans="2:6" x14ac:dyDescent="0.25">
      <c r="B20" s="47" t="s">
        <v>87</v>
      </c>
      <c r="C20" s="201"/>
      <c r="D20" s="202"/>
      <c r="E20" s="37"/>
      <c r="F20" s="34"/>
    </row>
    <row r="21" spans="2:6" x14ac:dyDescent="0.25">
      <c r="B21" s="129" t="s">
        <v>165</v>
      </c>
      <c r="C21" s="84"/>
      <c r="D21" s="34" t="s">
        <v>3</v>
      </c>
      <c r="E21" s="33"/>
      <c r="F21" s="34" t="s">
        <v>3</v>
      </c>
    </row>
    <row r="22" spans="2:6" x14ac:dyDescent="0.25">
      <c r="B22" s="47" t="s">
        <v>88</v>
      </c>
      <c r="C22" s="199"/>
      <c r="D22" s="200"/>
      <c r="E22" s="37"/>
      <c r="F22" s="34"/>
    </row>
    <row r="23" spans="2:6" x14ac:dyDescent="0.25">
      <c r="B23" s="129" t="s">
        <v>159</v>
      </c>
      <c r="C23" s="86"/>
      <c r="D23" s="34" t="s">
        <v>0</v>
      </c>
      <c r="E23" s="39"/>
      <c r="F23" s="34" t="s">
        <v>0</v>
      </c>
    </row>
    <row r="24" spans="2:6" x14ac:dyDescent="0.25">
      <c r="B24" s="47" t="s">
        <v>8</v>
      </c>
      <c r="C24" s="40"/>
      <c r="D24" s="34"/>
      <c r="E24" s="40"/>
      <c r="F24" s="34"/>
    </row>
    <row r="25" spans="2:6" x14ac:dyDescent="0.25">
      <c r="B25" s="131" t="s">
        <v>160</v>
      </c>
      <c r="C25" s="39"/>
      <c r="D25" s="34" t="s">
        <v>0</v>
      </c>
      <c r="E25" s="39"/>
      <c r="F25" s="34" t="s">
        <v>0</v>
      </c>
    </row>
    <row r="26" spans="2:6" x14ac:dyDescent="0.25">
      <c r="B26" s="47" t="s">
        <v>9</v>
      </c>
      <c r="C26" s="40"/>
      <c r="D26" s="76"/>
      <c r="E26" s="89"/>
      <c r="F26" s="76"/>
    </row>
    <row r="27" spans="2:6" x14ac:dyDescent="0.25">
      <c r="B27" s="47" t="s">
        <v>10</v>
      </c>
      <c r="C27" s="40"/>
      <c r="D27" s="76"/>
      <c r="E27" s="89"/>
      <c r="F27" s="76"/>
    </row>
    <row r="28" spans="2:6" x14ac:dyDescent="0.25">
      <c r="B28" s="132" t="s">
        <v>166</v>
      </c>
      <c r="C28" s="40"/>
      <c r="D28" s="76"/>
      <c r="E28" s="89"/>
      <c r="F28" s="76"/>
    </row>
    <row r="29" spans="2:6" ht="15.75" thickBot="1" x14ac:dyDescent="0.3">
      <c r="B29" s="47" t="s">
        <v>29</v>
      </c>
      <c r="C29" s="91"/>
      <c r="D29" s="76" t="s">
        <v>0</v>
      </c>
      <c r="E29" s="92"/>
      <c r="F29" s="76" t="s">
        <v>0</v>
      </c>
    </row>
    <row r="30" spans="2:6" x14ac:dyDescent="0.25">
      <c r="B30" s="133" t="s">
        <v>115</v>
      </c>
      <c r="C30" s="51"/>
      <c r="D30" s="95"/>
      <c r="E30" s="49"/>
      <c r="F30" s="95"/>
    </row>
    <row r="31" spans="2:6" x14ac:dyDescent="0.25">
      <c r="B31" s="134" t="s">
        <v>26</v>
      </c>
      <c r="C31" s="53" t="str">
        <f>IF(OR(C8&lt;=0,C9=" ")," ",((C8*C9)/2000)*(C10/100))</f>
        <v xml:space="preserve"> </v>
      </c>
      <c r="D31" s="34" t="s">
        <v>60</v>
      </c>
      <c r="E31" s="53" t="str">
        <f>IF(OR(E8&lt;=0,C9=" ")," ",E8*(E10/100))</f>
        <v xml:space="preserve"> </v>
      </c>
      <c r="F31" s="34" t="s">
        <v>60</v>
      </c>
    </row>
    <row r="32" spans="2:6" x14ac:dyDescent="0.25">
      <c r="B32" s="129" t="s">
        <v>14</v>
      </c>
      <c r="C32" s="53" t="str">
        <f xml:space="preserve"> IF(OR(ISNUMBER(C11),ISNUMBER(C12),ISNUMBER(C13)),(((C11/100)-(C12/100))*(C23/100)*2000)+(C12/100)*((C25/100)*2000)+((C13/100)*2000)," ")</f>
        <v xml:space="preserve"> </v>
      </c>
      <c r="D32" s="34" t="s">
        <v>5</v>
      </c>
      <c r="E32" s="53" t="str">
        <f xml:space="preserve"> IF(OR(ISNUMBER(E11),ISNUMBER(E12),ISNUMBER(E13)),(((E11/100)-(E12/100))*(E23/100)*2000)+(E12/100)*((E25/100)*2000)+((E13/100)*2000)," ")</f>
        <v xml:space="preserve"> </v>
      </c>
      <c r="F32" s="34" t="s">
        <v>5</v>
      </c>
    </row>
    <row r="33" spans="2:6" x14ac:dyDescent="0.25">
      <c r="B33" s="135" t="s">
        <v>40</v>
      </c>
      <c r="C33" s="203" t="s">
        <v>28</v>
      </c>
      <c r="D33" s="204"/>
      <c r="E33" s="203" t="s">
        <v>28</v>
      </c>
      <c r="F33" s="204"/>
    </row>
    <row r="34" spans="2:6" x14ac:dyDescent="0.25">
      <c r="B34" s="136" t="s">
        <v>19</v>
      </c>
      <c r="C34" s="206" t="str">
        <f>IF(OR(C8&lt;=0,C31=" ",C32=" ")," ",C31*C32)</f>
        <v xml:space="preserve"> </v>
      </c>
      <c r="D34" s="207"/>
      <c r="E34" s="206" t="str">
        <f>IF(OR(C9=" ",E31=" ",E32=" ")," ",E31*E32)</f>
        <v xml:space="preserve"> </v>
      </c>
      <c r="F34" s="207"/>
    </row>
    <row r="35" spans="2:6" x14ac:dyDescent="0.25">
      <c r="B35" s="129" t="s">
        <v>21</v>
      </c>
      <c r="C35" s="206" t="str">
        <f>IF(OR(C8&lt;=0,C31=" ")," ",IF(ISNUMBER(C14),C31*(C14*(2000/1000000))," "))</f>
        <v xml:space="preserve"> </v>
      </c>
      <c r="D35" s="207"/>
      <c r="E35" s="206" t="str">
        <f>IF(OR(C9=" ",E31=" ")," ",IF(ISNUMBER(E14),E31*(E14*(2000/1000000))," "))</f>
        <v xml:space="preserve"> </v>
      </c>
      <c r="F35" s="207"/>
    </row>
    <row r="36" spans="2:6" x14ac:dyDescent="0.25">
      <c r="B36" s="129" t="s">
        <v>20</v>
      </c>
      <c r="C36" s="206" t="str">
        <f>IF(OR(C8&lt;=0,C31=" ")," ",IF(ISNUMBER(C15),C31*(C15/100)*2000," "))</f>
        <v xml:space="preserve"> </v>
      </c>
      <c r="D36" s="207"/>
      <c r="E36" s="206" t="str">
        <f>IF(OR(C9=" ",E31=" ")," ",IF(ISNUMBER(E15),E31*(E15/100)*2000," "))</f>
        <v xml:space="preserve"> </v>
      </c>
      <c r="F36" s="207"/>
    </row>
    <row r="37" spans="2:6" x14ac:dyDescent="0.25">
      <c r="B37" s="129" t="s">
        <v>117</v>
      </c>
      <c r="C37" s="206" t="str">
        <f>IF(OR(C8&lt;=0,C31=" ")," ",IF(ISNUMBER(C16),C31*(C16*(2000/1000000))," "))</f>
        <v xml:space="preserve"> </v>
      </c>
      <c r="D37" s="207"/>
      <c r="E37" s="206" t="str">
        <f>IF(OR(C9=" ",E31=" ")," ",IF(ISNUMBER(E16),E31*(E16*(2000/1000000))," "))</f>
        <v xml:space="preserve"> </v>
      </c>
      <c r="F37" s="207"/>
    </row>
    <row r="38" spans="2:6" x14ac:dyDescent="0.25">
      <c r="B38" s="129" t="s">
        <v>24</v>
      </c>
      <c r="C38" s="206" t="str">
        <f>IF(OR(C8&lt;=0,C31=" ")," ",IF(ISNUMBER(C17),C31*(C17*(2000/1000000))," "))</f>
        <v xml:space="preserve"> </v>
      </c>
      <c r="D38" s="207"/>
      <c r="E38" s="206" t="str">
        <f>IF(OR(C9=" ",E31=" ")," ",IF(ISNUMBER(E17),E31*(E17*(2000/1000000))," "))</f>
        <v xml:space="preserve"> </v>
      </c>
      <c r="F38" s="207"/>
    </row>
    <row r="39" spans="2:6" x14ac:dyDescent="0.25">
      <c r="B39" s="129" t="s">
        <v>77</v>
      </c>
      <c r="C39" s="206" t="str">
        <f>IF(OR(C8&lt;=0,C31=" ")," ",IF(ISNUMBER(C18),C31*(C18*(2000/1000000))," "))</f>
        <v xml:space="preserve"> </v>
      </c>
      <c r="D39" s="207"/>
      <c r="E39" s="206" t="str">
        <f>IF(OR(C9=" ",E31=" ")," ",IF(ISNUMBER(E18),E31*(E18*(2000/1000000))," "))</f>
        <v xml:space="preserve"> </v>
      </c>
      <c r="F39" s="207"/>
    </row>
    <row r="40" spans="2:6" ht="15" customHeight="1" x14ac:dyDescent="0.25">
      <c r="B40" s="129" t="str">
        <f>IF(ISTEXT(C20), "Total "&amp;C20&amp;" applied"," ")</f>
        <v xml:space="preserve"> </v>
      </c>
      <c r="C40" s="212" t="str">
        <f>IF(OR(C8&lt;=0,C31=" ")," ",IF(ISNUMBER(C19),C31*(C19*(2000/1000000))," "))</f>
        <v xml:space="preserve"> </v>
      </c>
      <c r="D40" s="213"/>
      <c r="E40" s="212" t="str">
        <f>IF(OR(C9=" ",E31=" ")," ",IF(ISNUMBER(E19),E31*(E19*(2000/1000000))," "))</f>
        <v xml:space="preserve"> </v>
      </c>
      <c r="F40" s="213"/>
    </row>
    <row r="41" spans="2:6" x14ac:dyDescent="0.25">
      <c r="B41" s="129" t="str">
        <f>IF(ISTEXT(C22), "Total "&amp;C22&amp;" applied"," ")</f>
        <v xml:space="preserve"> </v>
      </c>
      <c r="C41" s="212" t="str">
        <f>IF(OR(C8&lt;=0,C31=" ")," ",IF(ISNUMBER(C21),C31*(C21*(2000/1000000))," "))</f>
        <v xml:space="preserve"> </v>
      </c>
      <c r="D41" s="213"/>
      <c r="E41" s="212" t="str">
        <f>IF(OR(C9=" ",E31=" ")," ",IF(ISNUMBER(E21),E31*(E21*(2000/1000000))," "))</f>
        <v xml:space="preserve"> </v>
      </c>
      <c r="F41" s="213"/>
    </row>
    <row r="42" spans="2:6" ht="15.75" thickBot="1" x14ac:dyDescent="0.3">
      <c r="B42" s="137" t="s">
        <v>73</v>
      </c>
      <c r="C42" s="214" t="str">
        <f>IF(OR(C8&lt;=0,C31=" ",C34=" ")," ",IF(C23&lt;100, (C31)*((C11-C12)/100)*(2000*(C23/100)*(C29/100))," "))</f>
        <v xml:space="preserve"> </v>
      </c>
      <c r="D42" s="215"/>
      <c r="E42" s="214" t="str">
        <f>IF(OR(C9=" ",E31=" ",E34=" ")," ",IF(E23&lt;100, E31*((E11-E12)/100)*(2000*(E23/100)*(E29/100))," "))</f>
        <v xml:space="preserve"> </v>
      </c>
      <c r="F42" s="215" t="str">
        <f>IF(F16=50, F27 * ((F5-F7)/100) * 250, " ")</f>
        <v xml:space="preserve"> </v>
      </c>
    </row>
    <row r="43" spans="2:6" ht="15" customHeight="1" x14ac:dyDescent="0.25">
      <c r="B43" s="179" t="s">
        <v>169</v>
      </c>
      <c r="C43" s="179"/>
      <c r="D43" s="179"/>
      <c r="E43" s="179"/>
      <c r="F43" s="179"/>
    </row>
    <row r="44" spans="2:6" x14ac:dyDescent="0.25">
      <c r="B44" s="180"/>
      <c r="C44" s="180"/>
      <c r="D44" s="180"/>
      <c r="E44" s="180"/>
      <c r="F44" s="180"/>
    </row>
    <row r="45" spans="2:6" x14ac:dyDescent="0.25">
      <c r="B45" s="180"/>
      <c r="C45" s="180"/>
      <c r="D45" s="180"/>
      <c r="E45" s="180"/>
      <c r="F45" s="180"/>
    </row>
    <row r="46" spans="2:6" x14ac:dyDescent="0.25">
      <c r="B46" s="180"/>
      <c r="C46" s="180"/>
      <c r="D46" s="180"/>
      <c r="E46" s="180"/>
      <c r="F46" s="180"/>
    </row>
    <row r="47" spans="2:6" x14ac:dyDescent="0.25">
      <c r="B47" s="180"/>
      <c r="C47" s="180"/>
      <c r="D47" s="180"/>
      <c r="E47" s="180"/>
      <c r="F47" s="180"/>
    </row>
    <row r="48" spans="2:6" x14ac:dyDescent="0.25">
      <c r="B48" s="180"/>
      <c r="C48" s="180"/>
      <c r="D48" s="180"/>
      <c r="E48" s="180"/>
      <c r="F48" s="180"/>
    </row>
    <row r="49" spans="2:6" x14ac:dyDescent="0.25">
      <c r="B49" s="180"/>
      <c r="C49" s="180"/>
      <c r="D49" s="180"/>
      <c r="E49" s="180"/>
      <c r="F49" s="180"/>
    </row>
    <row r="50" spans="2:6" x14ac:dyDescent="0.25">
      <c r="B50" s="180"/>
      <c r="C50" s="180"/>
      <c r="D50" s="180"/>
      <c r="E50" s="180"/>
      <c r="F50" s="180"/>
    </row>
    <row r="51" spans="2:6" x14ac:dyDescent="0.25">
      <c r="B51" s="180"/>
      <c r="C51" s="180"/>
      <c r="D51" s="180"/>
      <c r="E51" s="180"/>
      <c r="F51" s="180"/>
    </row>
    <row r="52" spans="2:6" x14ac:dyDescent="0.25">
      <c r="B52" s="180"/>
      <c r="C52" s="180"/>
      <c r="D52" s="180"/>
      <c r="E52" s="180"/>
      <c r="F52" s="180"/>
    </row>
    <row r="53" spans="2:6" x14ac:dyDescent="0.25">
      <c r="B53" s="14"/>
      <c r="C53" s="14"/>
      <c r="D53" s="14"/>
      <c r="E53" s="14"/>
      <c r="F53" s="14"/>
    </row>
  </sheetData>
  <sheetProtection algorithmName="SHA-512" hashValue="dTURvG8NLKQYaYEISWejPICrFgrSxbgLbZFgwHzMKXCCVJ6nJqeC2FC1DZnpuDL1h6JBWvdS6VU7KC1sYzqnRA==" saltValue="i5bvJnH4iZJvkMvkzh0HWw==" spinCount="100000" sheet="1" objects="1" scenarios="1"/>
  <mergeCells count="31">
    <mergeCell ref="C39:D39"/>
    <mergeCell ref="E39:F39"/>
    <mergeCell ref="C38:D38"/>
    <mergeCell ref="E38:F38"/>
    <mergeCell ref="C40:D40"/>
    <mergeCell ref="E40:F40"/>
    <mergeCell ref="C41:D41"/>
    <mergeCell ref="E41:F41"/>
    <mergeCell ref="C42:D42"/>
    <mergeCell ref="E42:F42"/>
    <mergeCell ref="B43:F52"/>
    <mergeCell ref="C35:D35"/>
    <mergeCell ref="E35:F35"/>
    <mergeCell ref="C36:D36"/>
    <mergeCell ref="E36:F36"/>
    <mergeCell ref="C37:D37"/>
    <mergeCell ref="E37:F37"/>
    <mergeCell ref="C20:D20"/>
    <mergeCell ref="C22:D22"/>
    <mergeCell ref="C33:D33"/>
    <mergeCell ref="E33:F33"/>
    <mergeCell ref="C34:D34"/>
    <mergeCell ref="E34:F34"/>
    <mergeCell ref="B2:F2"/>
    <mergeCell ref="B3:F3"/>
    <mergeCell ref="C6:D6"/>
    <mergeCell ref="E6:F6"/>
    <mergeCell ref="B4:F4"/>
    <mergeCell ref="B5:B7"/>
    <mergeCell ref="C5:D5"/>
    <mergeCell ref="E5:F5"/>
  </mergeCells>
  <pageMargins left="0.7" right="0.7" top="0.75" bottom="0.75" header="0.3" footer="0.3"/>
  <pageSetup scale="69" orientation="portrait" verticalDpi="1200" r:id="rId1"/>
  <headerFooter>
    <oddHeader>&amp;L&amp;G&amp;R&amp;"-,Bold"&amp;14Industrial By-Product (IBP) Program</oddHeader>
    <oddFooter>&amp;L&amp;"Arial,Italic"&amp;8wq-lndapp2-09  •  1/31/23&amp;C&amp;"Arial,Italic"&amp;8•  www.pca.state.mn.us  •  Available in alternative formats  •  651-296-6300  •  800-657-3864  •  Use your preferred relay service&amp;R&amp;"Arial,Italic"&amp;8Page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V20"/>
  <sheetViews>
    <sheetView showGridLines="0" zoomScaleNormal="100" workbookViewId="0">
      <selection activeCell="C8" sqref="C8"/>
    </sheetView>
  </sheetViews>
  <sheetFormatPr defaultColWidth="9.140625" defaultRowHeight="15" x14ac:dyDescent="0.25"/>
  <cols>
    <col min="1" max="1" width="2.85546875" style="2" customWidth="1"/>
    <col min="2" max="2" width="28.7109375" style="2" customWidth="1"/>
    <col min="3" max="4" width="16.5703125" style="2" bestFit="1" customWidth="1"/>
    <col min="5" max="6" width="14.85546875" style="2" customWidth="1"/>
    <col min="7" max="7" width="2.85546875" style="2" customWidth="1"/>
    <col min="8" max="8" width="28.7109375" style="2" customWidth="1"/>
    <col min="9" max="12" width="14.85546875" style="2" customWidth="1"/>
    <col min="13" max="13" width="2.85546875" style="2" customWidth="1"/>
    <col min="14" max="14" width="15.42578125" style="2" customWidth="1"/>
    <col min="15" max="17" width="14.85546875" style="2" customWidth="1"/>
    <col min="18" max="18" width="2.5703125" style="2" customWidth="1"/>
    <col min="19" max="19" width="34.28515625" style="2" customWidth="1"/>
    <col min="20" max="23" width="14.85546875" style="2" customWidth="1"/>
    <col min="24" max="16384" width="9.140625" style="2"/>
  </cols>
  <sheetData>
    <row r="1" spans="2:22" ht="15.75" thickBot="1" x14ac:dyDescent="0.3"/>
    <row r="2" spans="2:22" ht="18.75" x14ac:dyDescent="0.3">
      <c r="B2" s="184" t="s">
        <v>50</v>
      </c>
      <c r="C2" s="185"/>
      <c r="D2" s="185"/>
      <c r="E2" s="185"/>
      <c r="F2" s="186"/>
      <c r="H2" s="184" t="s">
        <v>51</v>
      </c>
      <c r="I2" s="185"/>
      <c r="J2" s="185"/>
      <c r="K2" s="185"/>
      <c r="L2" s="186"/>
      <c r="N2" s="184" t="s">
        <v>55</v>
      </c>
      <c r="O2" s="185"/>
      <c r="P2" s="185"/>
      <c r="Q2" s="186"/>
      <c r="S2" s="184" t="s">
        <v>79</v>
      </c>
      <c r="T2" s="185"/>
      <c r="U2" s="185"/>
      <c r="V2" s="186"/>
    </row>
    <row r="3" spans="2:22" s="138" customFormat="1" ht="90.75" customHeight="1" thickBot="1" x14ac:dyDescent="0.25">
      <c r="B3" s="222" t="s">
        <v>128</v>
      </c>
      <c r="C3" s="223"/>
      <c r="D3" s="223"/>
      <c r="E3" s="223"/>
      <c r="F3" s="224"/>
      <c r="H3" s="222" t="s">
        <v>129</v>
      </c>
      <c r="I3" s="223"/>
      <c r="J3" s="223"/>
      <c r="K3" s="223"/>
      <c r="L3" s="224"/>
      <c r="N3" s="246" t="s">
        <v>111</v>
      </c>
      <c r="O3" s="247"/>
      <c r="P3" s="247"/>
      <c r="Q3" s="248"/>
      <c r="S3" s="246" t="s">
        <v>130</v>
      </c>
      <c r="T3" s="247"/>
      <c r="U3" s="247"/>
      <c r="V3" s="248"/>
    </row>
    <row r="4" spans="2:22" s="140" customFormat="1" ht="14.25" thickBot="1" x14ac:dyDescent="0.25">
      <c r="B4" s="139" t="s">
        <v>172</v>
      </c>
      <c r="C4" s="249"/>
      <c r="D4" s="250"/>
      <c r="E4" s="250"/>
      <c r="F4" s="251"/>
      <c r="H4" s="181" t="s">
        <v>17</v>
      </c>
      <c r="I4" s="141" t="s">
        <v>30</v>
      </c>
      <c r="J4" s="141" t="s">
        <v>31</v>
      </c>
      <c r="K4" s="239" t="s">
        <v>37</v>
      </c>
      <c r="L4" s="240"/>
      <c r="N4" s="252" t="s">
        <v>59</v>
      </c>
      <c r="O4" s="254" t="s">
        <v>56</v>
      </c>
      <c r="P4" s="256" t="s">
        <v>57</v>
      </c>
      <c r="Q4" s="257"/>
      <c r="S4" s="139" t="s">
        <v>172</v>
      </c>
      <c r="T4" s="249"/>
      <c r="U4" s="250"/>
      <c r="V4" s="251"/>
    </row>
    <row r="5" spans="2:22" s="140" customFormat="1" ht="15.75" customHeight="1" thickBot="1" x14ac:dyDescent="0.25">
      <c r="B5" s="181" t="s">
        <v>17</v>
      </c>
      <c r="C5" s="141" t="s">
        <v>30</v>
      </c>
      <c r="D5" s="141" t="s">
        <v>31</v>
      </c>
      <c r="E5" s="239" t="s">
        <v>37</v>
      </c>
      <c r="F5" s="240"/>
      <c r="H5" s="182"/>
      <c r="I5" s="243" t="s">
        <v>52</v>
      </c>
      <c r="J5" s="243" t="s">
        <v>53</v>
      </c>
      <c r="K5" s="241"/>
      <c r="L5" s="242"/>
      <c r="N5" s="253"/>
      <c r="O5" s="255"/>
      <c r="P5" s="158" t="s">
        <v>7</v>
      </c>
      <c r="Q5" s="159" t="s">
        <v>6</v>
      </c>
      <c r="S5" s="181" t="s">
        <v>17</v>
      </c>
      <c r="T5" s="243" t="s">
        <v>22</v>
      </c>
      <c r="U5" s="239" t="s">
        <v>37</v>
      </c>
      <c r="V5" s="240"/>
    </row>
    <row r="6" spans="2:22" s="140" customFormat="1" ht="12.75" thickBot="1" x14ac:dyDescent="0.25">
      <c r="B6" s="182"/>
      <c r="C6" s="144" t="s">
        <v>22</v>
      </c>
      <c r="D6" s="144" t="s">
        <v>22</v>
      </c>
      <c r="E6" s="241"/>
      <c r="F6" s="242"/>
      <c r="H6" s="245"/>
      <c r="I6" s="244"/>
      <c r="J6" s="244"/>
      <c r="K6" s="142" t="s">
        <v>7</v>
      </c>
      <c r="L6" s="143" t="s">
        <v>6</v>
      </c>
      <c r="N6" s="97" t="s">
        <v>170</v>
      </c>
      <c r="O6" s="160"/>
      <c r="P6" s="164" t="str">
        <f>IF(ISNUMBER(O6),O6/1000," ")</f>
        <v xml:space="preserve"> </v>
      </c>
      <c r="Q6" s="108" t="s">
        <v>3</v>
      </c>
      <c r="S6" s="182"/>
      <c r="T6" s="244"/>
      <c r="U6" s="241"/>
      <c r="V6" s="242"/>
    </row>
    <row r="7" spans="2:22" s="140" customFormat="1" ht="12.75" thickBot="1" x14ac:dyDescent="0.25">
      <c r="B7" s="245"/>
      <c r="C7" s="146" t="s">
        <v>46</v>
      </c>
      <c r="D7" s="146" t="s">
        <v>47</v>
      </c>
      <c r="E7" s="142" t="s">
        <v>7</v>
      </c>
      <c r="F7" s="143" t="s">
        <v>6</v>
      </c>
      <c r="H7" s="97" t="s">
        <v>43</v>
      </c>
      <c r="I7" s="147" t="s">
        <v>54</v>
      </c>
      <c r="J7" s="160"/>
      <c r="K7" s="145" t="str">
        <f>IF(ISNUMBER(J7),(J7*10000)," ")</f>
        <v xml:space="preserve"> </v>
      </c>
      <c r="L7" s="108" t="s">
        <v>3</v>
      </c>
      <c r="N7" s="97" t="s">
        <v>171</v>
      </c>
      <c r="O7" s="161"/>
      <c r="P7" s="164" t="str">
        <f>IF(ISNUMBER(O7),O7/1000," ")</f>
        <v xml:space="preserve"> </v>
      </c>
      <c r="Q7" s="108" t="s">
        <v>13</v>
      </c>
      <c r="S7" s="245"/>
      <c r="T7" s="146" t="s">
        <v>80</v>
      </c>
      <c r="U7" s="142" t="s">
        <v>7</v>
      </c>
      <c r="V7" s="143" t="s">
        <v>6</v>
      </c>
    </row>
    <row r="8" spans="2:22" s="140" customFormat="1" ht="12.75" thickBot="1" x14ac:dyDescent="0.25">
      <c r="B8" s="97" t="s">
        <v>43</v>
      </c>
      <c r="C8" s="160"/>
      <c r="D8" s="160"/>
      <c r="E8" s="164" t="str">
        <f>IF(ISNUMBER(C8),(C8*(100/$C$4)),IF(ISNUMBER(D8),(D8*(100/$C$4)*10000)," "))</f>
        <v xml:space="preserve"> </v>
      </c>
      <c r="F8" s="108" t="s">
        <v>3</v>
      </c>
      <c r="H8" s="97" t="s">
        <v>2</v>
      </c>
      <c r="I8" s="161"/>
      <c r="J8" s="148" t="s">
        <v>54</v>
      </c>
      <c r="K8" s="149" t="str">
        <f>IF(ISNUMBER(I8),(I8/10000)," ")</f>
        <v xml:space="preserve"> </v>
      </c>
      <c r="L8" s="108" t="s">
        <v>0</v>
      </c>
      <c r="N8" s="151" t="s">
        <v>58</v>
      </c>
      <c r="O8" s="163"/>
      <c r="P8" s="172" t="str">
        <f>IF(ISNUMBER(O8),O8," ")</f>
        <v xml:space="preserve"> </v>
      </c>
      <c r="Q8" s="153" t="s">
        <v>3</v>
      </c>
      <c r="S8" s="97" t="s">
        <v>43</v>
      </c>
      <c r="T8" s="160"/>
      <c r="U8" s="164" t="str">
        <f>IF(ISNUMBER(T8),(T8*(100/$T$4))," ")</f>
        <v xml:space="preserve"> </v>
      </c>
      <c r="V8" s="108" t="s">
        <v>3</v>
      </c>
    </row>
    <row r="9" spans="2:22" s="140" customFormat="1" ht="12" x14ac:dyDescent="0.2">
      <c r="B9" s="97" t="s">
        <v>2</v>
      </c>
      <c r="C9" s="161"/>
      <c r="D9" s="161"/>
      <c r="E9" s="165" t="str">
        <f>IF(ISNUMBER(C9),(C9*(100/$C$4)/10000),IF(ISNUMBER(D9),(D9*(100/$C$4))," "))</f>
        <v xml:space="preserve"> </v>
      </c>
      <c r="F9" s="108" t="s">
        <v>0</v>
      </c>
      <c r="H9" s="97" t="s">
        <v>114</v>
      </c>
      <c r="I9" s="161"/>
      <c r="J9" s="148" t="s">
        <v>54</v>
      </c>
      <c r="K9" s="149" t="str">
        <f>IF(ISNUMBER(I9),(I9/10000)," ")</f>
        <v xml:space="preserve"> </v>
      </c>
      <c r="L9" s="108" t="s">
        <v>0</v>
      </c>
      <c r="N9" s="169"/>
      <c r="O9" s="170"/>
      <c r="P9" s="168"/>
      <c r="Q9" s="171"/>
      <c r="S9" s="97" t="s">
        <v>2</v>
      </c>
      <c r="T9" s="161"/>
      <c r="U9" s="165" t="str">
        <f>IF(ISNUMBER(T9),(T9*(100/$T$4)/10000)," ")</f>
        <v xml:space="preserve"> </v>
      </c>
      <c r="V9" s="108" t="s">
        <v>0</v>
      </c>
    </row>
    <row r="10" spans="2:22" s="140" customFormat="1" ht="12" x14ac:dyDescent="0.2">
      <c r="B10" s="97" t="s">
        <v>114</v>
      </c>
      <c r="C10" s="161"/>
      <c r="D10" s="161"/>
      <c r="E10" s="165" t="str">
        <f>IF(ISNUMBER(C10),(C10*(100/$C$4)/10000),IF(ISNUMBER(D10),(D10*(100/$C$4))," "))</f>
        <v xml:space="preserve"> </v>
      </c>
      <c r="F10" s="108" t="s">
        <v>0</v>
      </c>
      <c r="H10" s="97" t="s">
        <v>48</v>
      </c>
      <c r="I10" s="150" t="s">
        <v>54</v>
      </c>
      <c r="J10" s="161"/>
      <c r="K10" s="149" t="str">
        <f>IF(ISNUMBER(J10),(J10*10000)," ")</f>
        <v xml:space="preserve"> </v>
      </c>
      <c r="L10" s="108" t="s">
        <v>3</v>
      </c>
      <c r="N10" s="169"/>
      <c r="O10" s="170"/>
      <c r="P10" s="168"/>
      <c r="Q10" s="171"/>
      <c r="S10" s="97" t="s">
        <v>114</v>
      </c>
      <c r="T10" s="161"/>
      <c r="U10" s="165" t="str">
        <f>IF(ISNUMBER(T10),(T10*(100/$T$4)/10000)," ")</f>
        <v xml:space="preserve"> </v>
      </c>
      <c r="V10" s="108" t="s">
        <v>0</v>
      </c>
    </row>
    <row r="11" spans="2:22" s="140" customFormat="1" ht="12" x14ac:dyDescent="0.2">
      <c r="B11" s="97" t="s">
        <v>48</v>
      </c>
      <c r="C11" s="161"/>
      <c r="D11" s="161"/>
      <c r="E11" s="165" t="str">
        <f>IF(ISNUMBER(C11),(C11*(100/$C$4)),IF(ISNUMBER(D11),(D11*(100/$C$4)*10000)," "))</f>
        <v xml:space="preserve"> </v>
      </c>
      <c r="F11" s="108" t="s">
        <v>3</v>
      </c>
      <c r="H11" s="97" t="s">
        <v>110</v>
      </c>
      <c r="I11" s="161"/>
      <c r="J11" s="148" t="s">
        <v>54</v>
      </c>
      <c r="K11" s="149" t="str">
        <f>IF(ISNUMBER(I11),(I11/10000)," ")</f>
        <v xml:space="preserve"> </v>
      </c>
      <c r="L11" s="108" t="s">
        <v>0</v>
      </c>
      <c r="N11" s="169"/>
      <c r="O11" s="170"/>
      <c r="P11" s="168"/>
      <c r="Q11" s="171"/>
      <c r="S11" s="97" t="s">
        <v>48</v>
      </c>
      <c r="T11" s="161"/>
      <c r="U11" s="165" t="str">
        <f>IF(ISNUMBER(T11),(T11*(100/$T$4))," ")</f>
        <v xml:space="preserve"> </v>
      </c>
      <c r="V11" s="108" t="s">
        <v>3</v>
      </c>
    </row>
    <row r="12" spans="2:22" s="140" customFormat="1" ht="12" x14ac:dyDescent="0.2">
      <c r="B12" s="97" t="s">
        <v>110</v>
      </c>
      <c r="C12" s="161"/>
      <c r="D12" s="161"/>
      <c r="E12" s="165" t="str">
        <f>IF(ISNUMBER(C12),(C12*(100/$C$4)/10000),IF(ISNUMBER(D12),(D12*(100/$C$4))," "))</f>
        <v xml:space="preserve"> </v>
      </c>
      <c r="F12" s="108" t="s">
        <v>0</v>
      </c>
      <c r="H12" s="97" t="s">
        <v>44</v>
      </c>
      <c r="I12" s="150" t="s">
        <v>54</v>
      </c>
      <c r="J12" s="161"/>
      <c r="K12" s="149" t="str">
        <f>IF(ISNUMBER(J12),(J12*10000)," ")</f>
        <v xml:space="preserve"> </v>
      </c>
      <c r="L12" s="108" t="s">
        <v>3</v>
      </c>
      <c r="N12" s="169"/>
      <c r="O12" s="170"/>
      <c r="P12" s="168"/>
      <c r="Q12" s="171"/>
      <c r="S12" s="97" t="s">
        <v>110</v>
      </c>
      <c r="T12" s="161"/>
      <c r="U12" s="165" t="str">
        <f>IF(ISNUMBER(T12),(T12*(100/$T$4)/10000)," ")</f>
        <v xml:space="preserve"> </v>
      </c>
      <c r="V12" s="108" t="s">
        <v>0</v>
      </c>
    </row>
    <row r="13" spans="2:22" s="140" customFormat="1" ht="12" x14ac:dyDescent="0.2">
      <c r="B13" s="97" t="s">
        <v>44</v>
      </c>
      <c r="C13" s="161"/>
      <c r="D13" s="161"/>
      <c r="E13" s="165" t="str">
        <f>IF(ISNUMBER(C13),(C13*(100/$C$4)),IF(ISNUMBER(D13),(D13*(100/$C$4)*10000)," "))</f>
        <v xml:space="preserve"> </v>
      </c>
      <c r="F13" s="108" t="s">
        <v>3</v>
      </c>
      <c r="H13" s="97" t="s">
        <v>45</v>
      </c>
      <c r="I13" s="150" t="s">
        <v>54</v>
      </c>
      <c r="J13" s="161"/>
      <c r="K13" s="149" t="str">
        <f>IF(ISNUMBER(J13),(J13*10000)," ")</f>
        <v xml:space="preserve"> </v>
      </c>
      <c r="L13" s="108" t="s">
        <v>3</v>
      </c>
      <c r="N13" s="169"/>
      <c r="O13" s="170"/>
      <c r="P13" s="168"/>
      <c r="Q13" s="171"/>
      <c r="S13" s="97" t="s">
        <v>44</v>
      </c>
      <c r="T13" s="161"/>
      <c r="U13" s="165" t="str">
        <f>IF(ISNUMBER(T13),(T13*(100/$T$4))," ")</f>
        <v xml:space="preserve"> </v>
      </c>
      <c r="V13" s="108" t="s">
        <v>3</v>
      </c>
    </row>
    <row r="14" spans="2:22" s="140" customFormat="1" ht="12" x14ac:dyDescent="0.2">
      <c r="B14" s="97" t="s">
        <v>45</v>
      </c>
      <c r="C14" s="161"/>
      <c r="D14" s="161"/>
      <c r="E14" s="165" t="str">
        <f>IF(ISNUMBER(C14),(C14*(100/$C$4)),IF(ISNUMBER(D14),(D14*(100/$C$4)*10000)," "))</f>
        <v xml:space="preserve"> </v>
      </c>
      <c r="F14" s="108" t="s">
        <v>3</v>
      </c>
      <c r="H14" s="97" t="s">
        <v>12</v>
      </c>
      <c r="I14" s="162"/>
      <c r="J14" s="154" t="s">
        <v>54</v>
      </c>
      <c r="K14" s="155" t="str">
        <f>IF(ISNUMBER(I14),(I14/10000)," ")</f>
        <v xml:space="preserve"> </v>
      </c>
      <c r="L14" s="108" t="s">
        <v>0</v>
      </c>
      <c r="S14" s="97" t="s">
        <v>45</v>
      </c>
      <c r="T14" s="161"/>
      <c r="U14" s="165" t="str">
        <f>IF(ISNUMBER(T14),(T14*(100/$T$4))," ")</f>
        <v xml:space="preserve"> </v>
      </c>
      <c r="V14" s="108" t="s">
        <v>3</v>
      </c>
    </row>
    <row r="15" spans="2:22" s="140" customFormat="1" ht="12.75" thickBot="1" x14ac:dyDescent="0.25">
      <c r="B15" s="97" t="s">
        <v>12</v>
      </c>
      <c r="C15" s="162"/>
      <c r="D15" s="162"/>
      <c r="E15" s="166" t="str">
        <f>IF(ISNUMBER(C15),(C15*(100/$C$4)/10000),IF(ISNUMBER(D15),(D15*(100/$C$4))," "))</f>
        <v xml:space="preserve"> </v>
      </c>
      <c r="F15" s="108" t="s">
        <v>0</v>
      </c>
      <c r="H15" s="151" t="s">
        <v>78</v>
      </c>
      <c r="I15" s="156" t="s">
        <v>54</v>
      </c>
      <c r="J15" s="163"/>
      <c r="K15" s="152" t="str">
        <f>IF(ISNUMBER(J15),(J15*10000)," ")</f>
        <v xml:space="preserve"> </v>
      </c>
      <c r="L15" s="153" t="s">
        <v>3</v>
      </c>
      <c r="S15" s="97" t="s">
        <v>12</v>
      </c>
      <c r="T15" s="162"/>
      <c r="U15" s="166" t="str">
        <f>IF(ISNUMBER(T15),(T15*(100/$T$4)/10000)," ")</f>
        <v xml:space="preserve"> </v>
      </c>
      <c r="V15" s="108" t="s">
        <v>0</v>
      </c>
    </row>
    <row r="16" spans="2:22" s="140" customFormat="1" ht="12.75" thickBot="1" x14ac:dyDescent="0.25">
      <c r="B16" s="151" t="s">
        <v>78</v>
      </c>
      <c r="C16" s="163"/>
      <c r="D16" s="163"/>
      <c r="E16" s="167" t="str">
        <f>IF(ISNUMBER(C16),(C16*(100/$C$4)),IF(ISNUMBER(D16),(D16*(100/$C$4)*10000)," "))</f>
        <v xml:space="preserve"> </v>
      </c>
      <c r="F16" s="153" t="s">
        <v>3</v>
      </c>
      <c r="S16" s="151" t="s">
        <v>78</v>
      </c>
      <c r="T16" s="163"/>
      <c r="U16" s="167" t="str">
        <f>IF(ISNUMBER(T16),(T16*(100/$T$4))," ")</f>
        <v xml:space="preserve"> </v>
      </c>
      <c r="V16" s="153" t="s">
        <v>3</v>
      </c>
    </row>
    <row r="17" spans="2:19" s="140" customFormat="1" ht="13.5" x14ac:dyDescent="0.2">
      <c r="B17" s="140" t="s">
        <v>173</v>
      </c>
      <c r="J17" s="157"/>
      <c r="S17" s="140" t="s">
        <v>174</v>
      </c>
    </row>
    <row r="18" spans="2:19" s="140" customFormat="1" ht="12" x14ac:dyDescent="0.2">
      <c r="D18" s="157"/>
    </row>
    <row r="19" spans="2:19" s="140" customFormat="1" ht="12" x14ac:dyDescent="0.2"/>
    <row r="20" spans="2:19" s="140" customFormat="1" ht="12" x14ac:dyDescent="0.2"/>
  </sheetData>
  <sheetProtection algorithmName="SHA-512" hashValue="fnAFXd2s2VY4PhifqDxUj1diuiTxBe9KFpBI7C/jpuzWoLP8Q2O9Gq4hzoxRQHe8EfpP8cH5+uPN0WgD5SC6Cw==" saltValue="FIGUvF+d3N1bxSTAOx822w==" spinCount="100000" sheet="1" objects="1" scenarios="1"/>
  <mergeCells count="22">
    <mergeCell ref="N3:Q3"/>
    <mergeCell ref="S2:V2"/>
    <mergeCell ref="B2:F2"/>
    <mergeCell ref="B3:F3"/>
    <mergeCell ref="C4:F4"/>
    <mergeCell ref="N4:N5"/>
    <mergeCell ref="O4:O5"/>
    <mergeCell ref="P4:Q4"/>
    <mergeCell ref="N2:Q2"/>
    <mergeCell ref="S5:S7"/>
    <mergeCell ref="U5:V6"/>
    <mergeCell ref="S3:V3"/>
    <mergeCell ref="T5:T6"/>
    <mergeCell ref="T4:V4"/>
    <mergeCell ref="B5:B7"/>
    <mergeCell ref="E5:F6"/>
    <mergeCell ref="H2:L2"/>
    <mergeCell ref="H3:L3"/>
    <mergeCell ref="I5:I6"/>
    <mergeCell ref="J5:J6"/>
    <mergeCell ref="H4:H6"/>
    <mergeCell ref="K4:L5"/>
  </mergeCells>
  <pageMargins left="0.7" right="0.7" top="0.75" bottom="0.75" header="0.3" footer="0.3"/>
  <pageSetup paperSize="17" orientation="landscape" verticalDpi="1200" r:id="rId1"/>
  <headerFooter>
    <oddFooter>&amp;L&amp;"Arial,Italic"&amp;8wq-lndapp2-09  •  1/31/23&amp;C&amp;"Arial,Italic"&amp;8•  www.pca.state.mn.us  •  Available in alternative formats  •  651-296-6300  •  800-657-3864  •  Use your preferred relay service&amp;R&amp;"Arial,Italic"&amp;8Page &amp;P of &amp;N</oddFooter>
  </headerFooter>
  <ignoredErrors>
    <ignoredError sqref="E11:E12 E15 K10:K11 K14 U11:U12 U1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Maximum Rate Calculator</vt:lpstr>
      <vt:lpstr>Actual Rate Calculator</vt:lpstr>
      <vt:lpstr>Wet Density Calculator</vt:lpstr>
      <vt:lpstr>Wet Density Max Rate Calc</vt:lpstr>
      <vt:lpstr>Wet Density Actual Rate Calc</vt:lpstr>
      <vt:lpstr>Conversions</vt:lpstr>
    </vt:vector>
  </TitlesOfParts>
  <Manager>Chris Klucas (SS)</Manager>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Industrial By-Product Application Rate Calculator</dc:title>
  <dc:subject>Industrial By-Product Application Rate Calculator</dc:subject>
  <dc:creator>Minnesota Pollution Control Agency - Elise Doucette and Adam Sekely (Sandra Simbeck)</dc:creator>
  <cp:keywords>minnesota pollution control agency,wq-lndapp2-09,industrial wastewater,industrial by-product,land application,land-applied</cp:keywords>
  <dc:description>Replacing wq-lndapp2-09a-09d. Combined all 4 spreadsheets into one workbook (2023).</dc:description>
  <cp:lastModifiedBy>Meyer, Glenn</cp:lastModifiedBy>
  <cp:lastPrinted>2023-01-31T20:37:56Z</cp:lastPrinted>
  <dcterms:created xsi:type="dcterms:W3CDTF">2022-01-05T14:42:05Z</dcterms:created>
  <dcterms:modified xsi:type="dcterms:W3CDTF">2023-07-11T14:14:34Z</dcterms:modified>
  <cp:category>water quality,land application,wastewater</cp:category>
</cp:coreProperties>
</file>