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X:\Publications\Working drive - Simbeck\FORMS - ALL\Planning\p-sbap5 - SmallBusinessAsstProgram\"/>
    </mc:Choice>
  </mc:AlternateContent>
  <xr:revisionPtr revIDLastSave="0" documentId="13_ncr:1_{F1683FA8-1769-4512-A083-74E2D5FB3E24}" xr6:coauthVersionLast="47" xr6:coauthVersionMax="47" xr10:uidLastSave="{00000000-0000-0000-0000-000000000000}"/>
  <bookViews>
    <workbookView xWindow="-120" yWindow="-120" windowWidth="29040" windowHeight="15720" tabRatio="911" xr2:uid="{00000000-000D-0000-FFFF-FFFF00000000}"/>
  </bookViews>
  <sheets>
    <sheet name="Instructions" sheetId="1" r:id="rId1"/>
    <sheet name="Federal standards" sheetId="5" r:id="rId2"/>
    <sheet name="State general permit" sheetId="33" r:id="rId3"/>
    <sheet name="Aggregate" sheetId="23" r:id="rId4"/>
    <sheet name="Crusher Engine" sheetId="38" r:id="rId5"/>
    <sheet name="Generator" sheetId="40" r:id="rId6"/>
    <sheet name="Fugitive" sheetId="32" r:id="rId7"/>
    <sheet name="Potential emissions" sheetId="19" r:id="rId8"/>
    <sheet name="Actual emissions" sheetId="30" r:id="rId9"/>
    <sheet name="Permits &amp; requirements" sheetId="29" r:id="rId10"/>
    <sheet name="Aggregate emission factors" sheetId="24" r:id="rId11"/>
    <sheet name="Engine emission factors" sheetId="37" r:id="rId12"/>
    <sheet name="Data validation" sheetId="39" state="hidden" r:id="rId13"/>
  </sheets>
  <definedNames>
    <definedName name="Emer" localSheetId="4">'Data validation'!$A$19</definedName>
    <definedName name="Emer" localSheetId="12">'Data validation'!$A$19</definedName>
    <definedName name="Emer" localSheetId="11">'Data validation'!$A$19</definedName>
    <definedName name="Emer" localSheetId="5">'Data validation'!$A$19</definedName>
    <definedName name="ng2l" localSheetId="4">'Data validation'!$A$13</definedName>
    <definedName name="ng2l" localSheetId="12">'Data validation'!$A$13</definedName>
    <definedName name="ng2l" localSheetId="11">'Data validation'!$A$13</definedName>
    <definedName name="ng2l" localSheetId="5">'Data validation'!$A$13</definedName>
    <definedName name="ngl" localSheetId="4">'Data validation'!$A$12</definedName>
    <definedName name="ngl" localSheetId="12">'Data validation'!$A$12</definedName>
    <definedName name="ngl" localSheetId="11">'Data validation'!$A$12</definedName>
    <definedName name="ngl" localSheetId="5">'Data validation'!$A$12</definedName>
    <definedName name="ngr" localSheetId="4">'Data validation'!$A$11</definedName>
    <definedName name="ngr" localSheetId="12">'Data validation'!$A$11</definedName>
    <definedName name="ngr" localSheetId="11">'Data validation'!$A$11</definedName>
    <definedName name="ngr" localSheetId="5">'Data validation'!$A$11</definedName>
    <definedName name="_xlnm.Print_Area" localSheetId="8">'Actual emissions'!$B$1:$H$48</definedName>
    <definedName name="_xlnm.Print_Area" localSheetId="3">Aggregate!$B$1:$K$54</definedName>
    <definedName name="_xlnm.Print_Area" localSheetId="10">'Aggregate emission factors'!$B$1:$J$43</definedName>
    <definedName name="_xlnm.Print_Area" localSheetId="4">'Crusher Engine'!$B$1:$J$64</definedName>
    <definedName name="_xlnm.Print_Area" localSheetId="11">'Engine emission factors'!$A$1:$I$59</definedName>
    <definedName name="_xlnm.Print_Area" localSheetId="1">'Federal standards'!$B$1:$O$80</definedName>
    <definedName name="_xlnm.Print_Area" localSheetId="6">Fugitive!$B$1:$I$90</definedName>
    <definedName name="_xlnm.Print_Area" localSheetId="5">Generator!$B$1:$J$64</definedName>
    <definedName name="_xlnm.Print_Area" localSheetId="0">Instructions!$B$1:$O$27</definedName>
    <definedName name="_xlnm.Print_Area" localSheetId="9">'Permits &amp; requirements'!$B$1:$I$62</definedName>
    <definedName name="_xlnm.Print_Area" localSheetId="7">'Potential emissions'!$B$1:$H$48</definedName>
    <definedName name="_xlnm.Print_Area" localSheetId="2">'State general permit'!$B$1:$O$33</definedName>
    <definedName name="_xlnm.Print_Titles" localSheetId="8">'Actual emissions'!$1:$6</definedName>
    <definedName name="_xlnm.Print_Titles" localSheetId="3">Aggregate!$1:$2</definedName>
    <definedName name="_xlnm.Print_Titles" localSheetId="10">'Aggregate emission factors'!$1:$2</definedName>
    <definedName name="_xlnm.Print_Titles" localSheetId="4">'Crusher Engine'!$15:$20</definedName>
    <definedName name="_xlnm.Print_Titles" localSheetId="11">'Engine emission factors'!$3:$3</definedName>
    <definedName name="_xlnm.Print_Titles" localSheetId="1">'Federal standards'!$1:$2</definedName>
    <definedName name="_xlnm.Print_Titles" localSheetId="6">Fugitive!$1:$2</definedName>
    <definedName name="_xlnm.Print_Titles" localSheetId="5">Generator!$15:$20</definedName>
    <definedName name="_xlnm.Print_Titles" localSheetId="9">'Permits &amp; requirements'!$1:$2</definedName>
    <definedName name="_xlnm.Print_Titles" localSheetId="7">'Potential emissions'!$1:$6</definedName>
    <definedName name="_xlnm.Print_Titles" localSheetId="2">'State general permit'!$1:$2</definedName>
    <definedName name="pro">'Data validation'!$A$9</definedName>
    <definedName name="rd" localSheetId="4">'Data validation'!$A$7</definedName>
    <definedName name="rd" localSheetId="12">'Data validation'!$A$7</definedName>
    <definedName name="rd" localSheetId="11">'Data validation'!$A$7</definedName>
    <definedName name="rd" localSheetId="5">'Data validation'!$A$7</definedName>
    <definedName name="rg" localSheetId="4">'Data validation'!$A$8</definedName>
    <definedName name="rg" localSheetId="12">'Data validation'!$A$8</definedName>
    <definedName name="rg" localSheetId="11">'Data validation'!$A$8</definedName>
    <definedName name="rg" localSheetId="5">'Data validation'!$A$8</definedName>
    <definedName name="Routine" localSheetId="4">'Data validation'!$A$18</definedName>
    <definedName name="Routine" localSheetId="12">'Data validation'!$A$18</definedName>
    <definedName name="Routine" localSheetId="11">'Data validation'!$A$18</definedName>
    <definedName name="Routine" localSheetId="5">'Data validation'!$A$18</definedName>
    <definedName name="select" localSheetId="4">'Data validation'!$A$6</definedName>
    <definedName name="select" localSheetId="12">'Data validation'!$A$6</definedName>
    <definedName name="select" localSheetId="11">'Data validation'!$A$6</definedName>
    <definedName name="select" localSheetId="5">'Data validation'!$A$6</definedName>
    <definedName name="so" localSheetId="4">'Data validation'!$A$17</definedName>
    <definedName name="so" localSheetId="12">'Data validation'!$A$17</definedName>
    <definedName name="so" localSheetId="11">'Data validation'!$A$17</definedName>
    <definedName name="so" localSheetId="5">'Data validation'!$A$17</definedName>
    <definedName name="tng" localSheetId="4">'Data validation'!$A$10</definedName>
    <definedName name="tng" localSheetId="12">'Data validation'!$A$10</definedName>
    <definedName name="tng" localSheetId="11">'Data validation'!$A$10</definedName>
    <definedName name="tng" localSheetId="5">'Data validation'!$A$10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5" l="1"/>
  <c r="D19" i="40"/>
  <c r="E10" i="40"/>
  <c r="E10" i="38"/>
  <c r="D19" i="38" s="1"/>
  <c r="F19" i="40"/>
  <c r="F19" i="38"/>
  <c r="E15" i="30"/>
  <c r="D15" i="30"/>
  <c r="E15" i="19"/>
  <c r="D15" i="19"/>
  <c r="B1" i="38"/>
  <c r="B1" i="40"/>
  <c r="G59" i="40"/>
  <c r="G58" i="40"/>
  <c r="G57" i="40"/>
  <c r="G56" i="40"/>
  <c r="G55" i="40"/>
  <c r="G54" i="40"/>
  <c r="G53" i="40"/>
  <c r="G52" i="40"/>
  <c r="G51" i="40"/>
  <c r="G50" i="40"/>
  <c r="G49" i="40"/>
  <c r="G48" i="40"/>
  <c r="G47" i="40"/>
  <c r="G46" i="40"/>
  <c r="G45" i="40"/>
  <c r="G44" i="40"/>
  <c r="G43" i="40"/>
  <c r="G42" i="40"/>
  <c r="G41" i="40"/>
  <c r="G40" i="40"/>
  <c r="G39" i="40"/>
  <c r="G38" i="40"/>
  <c r="G37" i="40"/>
  <c r="G36" i="40"/>
  <c r="G35" i="40"/>
  <c r="G32" i="40"/>
  <c r="G31" i="40"/>
  <c r="G30" i="40"/>
  <c r="G27" i="40"/>
  <c r="G26" i="40"/>
  <c r="G25" i="40"/>
  <c r="G23" i="40"/>
  <c r="G22" i="40"/>
  <c r="G21" i="40"/>
  <c r="F12" i="40"/>
  <c r="E12" i="40"/>
  <c r="G24" i="40" s="1"/>
  <c r="F11" i="40"/>
  <c r="E11" i="40"/>
  <c r="D11" i="40"/>
  <c r="F9" i="40"/>
  <c r="D8" i="40"/>
  <c r="F8" i="40" s="1"/>
  <c r="D10" i="40" s="1"/>
  <c r="F10" i="40" s="1"/>
  <c r="G59" i="38"/>
  <c r="G58" i="38"/>
  <c r="G57" i="38"/>
  <c r="G56" i="38"/>
  <c r="G55" i="38"/>
  <c r="G54" i="38"/>
  <c r="G53" i="38"/>
  <c r="G52" i="38"/>
  <c r="G51" i="38"/>
  <c r="G50" i="38"/>
  <c r="G49" i="38"/>
  <c r="G48" i="38"/>
  <c r="G47" i="38"/>
  <c r="G46" i="38"/>
  <c r="G45" i="38"/>
  <c r="G44" i="38"/>
  <c r="G43" i="38"/>
  <c r="G42" i="38"/>
  <c r="G41" i="38"/>
  <c r="G40" i="38"/>
  <c r="G39" i="38"/>
  <c r="G38" i="38"/>
  <c r="G37" i="38"/>
  <c r="G36" i="38"/>
  <c r="G35" i="38"/>
  <c r="G32" i="38"/>
  <c r="G31" i="38"/>
  <c r="G30" i="38"/>
  <c r="G27" i="38"/>
  <c r="G26" i="38"/>
  <c r="G25" i="38"/>
  <c r="G23" i="38"/>
  <c r="G22" i="38"/>
  <c r="G21" i="38"/>
  <c r="F11" i="38"/>
  <c r="E11" i="38"/>
  <c r="D11" i="38"/>
  <c r="F9" i="38"/>
  <c r="E19" i="38" s="1"/>
  <c r="D8" i="38"/>
  <c r="F8" i="38" s="1"/>
  <c r="D10" i="38" s="1"/>
  <c r="F10" i="38" s="1"/>
  <c r="A1" i="39"/>
  <c r="C13" i="39"/>
  <c r="C14" i="39"/>
  <c r="C18" i="39"/>
  <c r="C19" i="39"/>
  <c r="F12" i="38"/>
  <c r="E12" i="38"/>
  <c r="G24" i="38" s="1"/>
  <c r="A1" i="37"/>
  <c r="H55" i="37"/>
  <c r="I11" i="37" s="1"/>
  <c r="D55" i="37"/>
  <c r="I15" i="37" s="1"/>
  <c r="C55" i="37"/>
  <c r="I14" i="37" s="1"/>
  <c r="B55" i="37"/>
  <c r="I13" i="37" s="1"/>
  <c r="D54" i="37"/>
  <c r="E15" i="37" s="1"/>
  <c r="C54" i="37"/>
  <c r="E14" i="37" s="1"/>
  <c r="B54" i="37"/>
  <c r="H53" i="37"/>
  <c r="D53" i="37"/>
  <c r="C53" i="37"/>
  <c r="B53" i="37"/>
  <c r="D52" i="37"/>
  <c r="G15" i="37" s="1"/>
  <c r="H15" i="37" s="1"/>
  <c r="C52" i="37"/>
  <c r="F14" i="37" s="1"/>
  <c r="B52" i="37"/>
  <c r="G13" i="37" s="1"/>
  <c r="H13" i="37" s="1"/>
  <c r="I41" i="37"/>
  <c r="E41" i="37"/>
  <c r="I40" i="37"/>
  <c r="I39" i="37"/>
  <c r="E39" i="37"/>
  <c r="I38" i="37"/>
  <c r="I37" i="37"/>
  <c r="I36" i="37"/>
  <c r="I35" i="37"/>
  <c r="I34" i="37"/>
  <c r="E34" i="37"/>
  <c r="I33" i="37"/>
  <c r="I32" i="37"/>
  <c r="I31" i="37"/>
  <c r="I30" i="37"/>
  <c r="E30" i="37"/>
  <c r="I29" i="37"/>
  <c r="I28" i="37"/>
  <c r="I27" i="37"/>
  <c r="I26" i="37"/>
  <c r="I25" i="37"/>
  <c r="I24" i="37"/>
  <c r="I23" i="37"/>
  <c r="E23" i="37"/>
  <c r="I22" i="37"/>
  <c r="E22" i="37"/>
  <c r="I21" i="37"/>
  <c r="E21" i="37"/>
  <c r="I20" i="37"/>
  <c r="I19" i="37"/>
  <c r="I18" i="37"/>
  <c r="I17" i="37"/>
  <c r="D15" i="37"/>
  <c r="C15" i="37"/>
  <c r="B15" i="37"/>
  <c r="C14" i="37"/>
  <c r="B14" i="37"/>
  <c r="E13" i="37"/>
  <c r="C13" i="37"/>
  <c r="B13" i="37"/>
  <c r="E10" i="37"/>
  <c r="B10" i="37"/>
  <c r="I9" i="37"/>
  <c r="I8" i="37"/>
  <c r="I7" i="37"/>
  <c r="H7" i="37"/>
  <c r="D7" i="37"/>
  <c r="C7" i="37"/>
  <c r="I6" i="37"/>
  <c r="I5" i="37" s="1"/>
  <c r="H6" i="37"/>
  <c r="G6" i="37"/>
  <c r="F6" i="37"/>
  <c r="F7" i="37" s="1"/>
  <c r="D6" i="37"/>
  <c r="C6" i="37"/>
  <c r="H5" i="37"/>
  <c r="G5" i="37"/>
  <c r="G7" i="37" s="1"/>
  <c r="F5" i="37"/>
  <c r="E19" i="40" l="1"/>
  <c r="I36" i="40" s="1"/>
  <c r="E23" i="30" s="1"/>
  <c r="I48" i="38"/>
  <c r="D35" i="30" s="1"/>
  <c r="C17" i="39"/>
  <c r="C12" i="39"/>
  <c r="H52" i="40"/>
  <c r="E39" i="19" s="1"/>
  <c r="H47" i="40"/>
  <c r="E34" i="19" s="1"/>
  <c r="H55" i="40"/>
  <c r="E42" i="19" s="1"/>
  <c r="H30" i="40"/>
  <c r="E17" i="19" s="1"/>
  <c r="H42" i="40"/>
  <c r="E29" i="19" s="1"/>
  <c r="H50" i="40"/>
  <c r="E37" i="19" s="1"/>
  <c r="H58" i="40"/>
  <c r="E45" i="19" s="1"/>
  <c r="H23" i="40"/>
  <c r="E10" i="19" s="1"/>
  <c r="H37" i="40"/>
  <c r="E24" i="19" s="1"/>
  <c r="H45" i="40"/>
  <c r="E32" i="19" s="1"/>
  <c r="H53" i="40"/>
  <c r="E40" i="19" s="1"/>
  <c r="H26" i="40"/>
  <c r="E13" i="19" s="1"/>
  <c r="H40" i="40"/>
  <c r="E27" i="19" s="1"/>
  <c r="H48" i="40"/>
  <c r="E35" i="19" s="1"/>
  <c r="H56" i="40"/>
  <c r="E43" i="19" s="1"/>
  <c r="H21" i="40"/>
  <c r="E8" i="19" s="1"/>
  <c r="H31" i="40"/>
  <c r="E18" i="19" s="1"/>
  <c r="H35" i="40"/>
  <c r="E22" i="19" s="1"/>
  <c r="H43" i="40"/>
  <c r="E30" i="19" s="1"/>
  <c r="H51" i="40"/>
  <c r="E38" i="19" s="1"/>
  <c r="H59" i="40"/>
  <c r="E46" i="19" s="1"/>
  <c r="H25" i="40"/>
  <c r="E12" i="19" s="1"/>
  <c r="H39" i="40"/>
  <c r="E26" i="19" s="1"/>
  <c r="H24" i="40"/>
  <c r="E11" i="19" s="1"/>
  <c r="H38" i="40"/>
  <c r="E25" i="19" s="1"/>
  <c r="H46" i="40"/>
  <c r="E33" i="19" s="1"/>
  <c r="H54" i="40"/>
  <c r="E41" i="19" s="1"/>
  <c r="H27" i="40"/>
  <c r="E14" i="19" s="1"/>
  <c r="H41" i="40"/>
  <c r="E28" i="19" s="1"/>
  <c r="H49" i="40"/>
  <c r="E36" i="19" s="1"/>
  <c r="H57" i="40"/>
  <c r="E44" i="19" s="1"/>
  <c r="H22" i="40"/>
  <c r="E9" i="19" s="1"/>
  <c r="H32" i="40"/>
  <c r="E19" i="19" s="1"/>
  <c r="H36" i="40"/>
  <c r="E23" i="19" s="1"/>
  <c r="H44" i="40"/>
  <c r="E31" i="19" s="1"/>
  <c r="H48" i="38"/>
  <c r="D35" i="19" s="1"/>
  <c r="H41" i="38"/>
  <c r="D28" i="19" s="1"/>
  <c r="H35" i="38"/>
  <c r="D22" i="19" s="1"/>
  <c r="H40" i="38"/>
  <c r="D27" i="19" s="1"/>
  <c r="H36" i="38"/>
  <c r="D23" i="19" s="1"/>
  <c r="H54" i="38"/>
  <c r="D41" i="19" s="1"/>
  <c r="H26" i="38"/>
  <c r="D13" i="19" s="1"/>
  <c r="H49" i="38"/>
  <c r="D36" i="19" s="1"/>
  <c r="H56" i="38"/>
  <c r="D43" i="19" s="1"/>
  <c r="H21" i="38"/>
  <c r="D8" i="19" s="1"/>
  <c r="H27" i="38"/>
  <c r="D14" i="19" s="1"/>
  <c r="H57" i="38"/>
  <c r="D44" i="19" s="1"/>
  <c r="H22" i="38"/>
  <c r="D9" i="19" s="1"/>
  <c r="H52" i="38"/>
  <c r="D39" i="19" s="1"/>
  <c r="H44" i="38"/>
  <c r="D31" i="19" s="1"/>
  <c r="H31" i="38"/>
  <c r="D18" i="19" s="1"/>
  <c r="H32" i="38"/>
  <c r="D19" i="19" s="1"/>
  <c r="H25" i="38"/>
  <c r="D12" i="19" s="1"/>
  <c r="H55" i="38"/>
  <c r="D42" i="19" s="1"/>
  <c r="H30" i="38"/>
  <c r="D17" i="19" s="1"/>
  <c r="H42" i="38"/>
  <c r="D29" i="19" s="1"/>
  <c r="H50" i="38"/>
  <c r="D37" i="19" s="1"/>
  <c r="H58" i="38"/>
  <c r="D45" i="19" s="1"/>
  <c r="H39" i="38"/>
  <c r="D26" i="19" s="1"/>
  <c r="H47" i="38"/>
  <c r="D34" i="19" s="1"/>
  <c r="H23" i="38"/>
  <c r="D10" i="19" s="1"/>
  <c r="H37" i="38"/>
  <c r="D24" i="19" s="1"/>
  <c r="H45" i="38"/>
  <c r="D32" i="19" s="1"/>
  <c r="H53" i="38"/>
  <c r="D40" i="19" s="1"/>
  <c r="H43" i="38"/>
  <c r="D30" i="19" s="1"/>
  <c r="H51" i="38"/>
  <c r="D38" i="19" s="1"/>
  <c r="H59" i="38"/>
  <c r="D46" i="19" s="1"/>
  <c r="H24" i="38"/>
  <c r="D11" i="19" s="1"/>
  <c r="H38" i="38"/>
  <c r="D25" i="19" s="1"/>
  <c r="H46" i="38"/>
  <c r="D33" i="19" s="1"/>
  <c r="D13" i="37"/>
  <c r="F13" i="37"/>
  <c r="F15" i="37"/>
  <c r="G14" i="37"/>
  <c r="H14" i="37" s="1"/>
  <c r="I10" i="37"/>
  <c r="D14" i="37"/>
  <c r="I26" i="40" l="1"/>
  <c r="E13" i="30" s="1"/>
  <c r="I27" i="40"/>
  <c r="E14" i="30" s="1"/>
  <c r="I52" i="40"/>
  <c r="E39" i="30" s="1"/>
  <c r="I58" i="40"/>
  <c r="E45" i="30" s="1"/>
  <c r="I48" i="40"/>
  <c r="E35" i="30" s="1"/>
  <c r="I59" i="40"/>
  <c r="E46" i="30" s="1"/>
  <c r="I49" i="40"/>
  <c r="E36" i="30" s="1"/>
  <c r="I44" i="40"/>
  <c r="E31" i="30" s="1"/>
  <c r="I50" i="40"/>
  <c r="E37" i="30" s="1"/>
  <c r="I40" i="40"/>
  <c r="E27" i="30" s="1"/>
  <c r="I41" i="40"/>
  <c r="E28" i="30" s="1"/>
  <c r="I25" i="40"/>
  <c r="E12" i="30" s="1"/>
  <c r="I22" i="40"/>
  <c r="E9" i="30" s="1"/>
  <c r="I56" i="40"/>
  <c r="E43" i="30" s="1"/>
  <c r="I24" i="40"/>
  <c r="E11" i="30" s="1"/>
  <c r="I57" i="40"/>
  <c r="E44" i="30" s="1"/>
  <c r="I42" i="40"/>
  <c r="E29" i="30" s="1"/>
  <c r="I43" i="40"/>
  <c r="E30" i="30" s="1"/>
  <c r="I47" i="40"/>
  <c r="E34" i="30" s="1"/>
  <c r="I37" i="40"/>
  <c r="E24" i="30" s="1"/>
  <c r="I21" i="40"/>
  <c r="E8" i="30" s="1"/>
  <c r="I46" i="40"/>
  <c r="E33" i="30" s="1"/>
  <c r="I39" i="40"/>
  <c r="E26" i="30" s="1"/>
  <c r="I23" i="40"/>
  <c r="E10" i="30" s="1"/>
  <c r="I32" i="40"/>
  <c r="E19" i="30" s="1"/>
  <c r="I38" i="40"/>
  <c r="E25" i="30" s="1"/>
  <c r="I55" i="40"/>
  <c r="E42" i="30" s="1"/>
  <c r="I45" i="40"/>
  <c r="E32" i="30" s="1"/>
  <c r="I31" i="40"/>
  <c r="E18" i="30" s="1"/>
  <c r="I54" i="40"/>
  <c r="E41" i="30" s="1"/>
  <c r="I51" i="40"/>
  <c r="E38" i="30" s="1"/>
  <c r="I30" i="40"/>
  <c r="E17" i="30" s="1"/>
  <c r="I53" i="40"/>
  <c r="E40" i="30" s="1"/>
  <c r="I35" i="40"/>
  <c r="E22" i="30" s="1"/>
  <c r="I24" i="38"/>
  <c r="D11" i="30" s="1"/>
  <c r="I42" i="38"/>
  <c r="D29" i="30" s="1"/>
  <c r="I27" i="38"/>
  <c r="D14" i="30" s="1"/>
  <c r="I56" i="38"/>
  <c r="D43" i="30" s="1"/>
  <c r="I22" i="38"/>
  <c r="D9" i="30" s="1"/>
  <c r="I41" i="38"/>
  <c r="D28" i="30" s="1"/>
  <c r="I58" i="38"/>
  <c r="D45" i="30" s="1"/>
  <c r="I31" i="38"/>
  <c r="D18" i="30" s="1"/>
  <c r="I49" i="38"/>
  <c r="D36" i="30" s="1"/>
  <c r="I46" i="38"/>
  <c r="D33" i="30" s="1"/>
  <c r="I50" i="38"/>
  <c r="D37" i="30" s="1"/>
  <c r="I21" i="38"/>
  <c r="D8" i="30" s="1"/>
  <c r="I52" i="38"/>
  <c r="D39" i="30" s="1"/>
  <c r="I57" i="38"/>
  <c r="D44" i="30" s="1"/>
  <c r="I45" i="38"/>
  <c r="D32" i="30" s="1"/>
  <c r="I35" i="38"/>
  <c r="D22" i="30" s="1"/>
  <c r="I37" i="38"/>
  <c r="D24" i="30" s="1"/>
  <c r="I39" i="38"/>
  <c r="D26" i="30" s="1"/>
  <c r="I36" i="38"/>
  <c r="D23" i="30" s="1"/>
  <c r="I26" i="38"/>
  <c r="D13" i="30" s="1"/>
  <c r="I51" i="38"/>
  <c r="D38" i="30" s="1"/>
  <c r="I43" i="38"/>
  <c r="D30" i="30" s="1"/>
  <c r="I38" i="38"/>
  <c r="D25" i="30" s="1"/>
  <c r="I47" i="38"/>
  <c r="D34" i="30" s="1"/>
  <c r="I44" i="38"/>
  <c r="D31" i="30" s="1"/>
  <c r="I40" i="38"/>
  <c r="D27" i="30" s="1"/>
  <c r="I59" i="38"/>
  <c r="D46" i="30" s="1"/>
  <c r="I23" i="38"/>
  <c r="D10" i="30" s="1"/>
  <c r="I25" i="38"/>
  <c r="D12" i="30" s="1"/>
  <c r="I32" i="38"/>
  <c r="D19" i="30" s="1"/>
  <c r="I53" i="38"/>
  <c r="D40" i="30" s="1"/>
  <c r="I54" i="38"/>
  <c r="D41" i="30" s="1"/>
  <c r="I55" i="38"/>
  <c r="D42" i="30" s="1"/>
  <c r="I30" i="38"/>
  <c r="D17" i="30" s="1"/>
  <c r="H33" i="40"/>
  <c r="H60" i="40"/>
  <c r="H33" i="38"/>
  <c r="H60" i="38"/>
  <c r="I60" i="40" l="1"/>
  <c r="I33" i="40"/>
  <c r="I60" i="38"/>
  <c r="I33" i="38"/>
  <c r="I50" i="32"/>
  <c r="I49" i="32"/>
  <c r="I48" i="32"/>
  <c r="D34" i="23" l="1"/>
  <c r="E34" i="23" s="1"/>
  <c r="E28" i="23"/>
  <c r="E30" i="23" l="1"/>
  <c r="C11" i="32"/>
  <c r="E32" i="23"/>
  <c r="E31" i="23"/>
  <c r="E29" i="23"/>
  <c r="E33" i="23"/>
  <c r="B1" i="24"/>
  <c r="B1" i="29"/>
  <c r="B1" i="30"/>
  <c r="B1" i="19"/>
  <c r="B1" i="32"/>
  <c r="B1" i="23"/>
  <c r="B1" i="33"/>
  <c r="E13" i="29" l="1"/>
  <c r="G72" i="32" l="1"/>
  <c r="N49" i="5" l="1"/>
  <c r="N40" i="5"/>
  <c r="N30" i="5"/>
  <c r="N17" i="5" l="1"/>
  <c r="G62" i="32" l="1"/>
  <c r="B9" i="33" l="1"/>
  <c r="J8" i="33"/>
  <c r="I8" i="33"/>
  <c r="G8" i="33"/>
  <c r="E8" i="33"/>
  <c r="N62" i="5" l="1"/>
  <c r="N66" i="5"/>
  <c r="N53" i="5"/>
  <c r="N45" i="5"/>
  <c r="N21" i="5"/>
  <c r="N35" i="5"/>
  <c r="D57" i="32"/>
  <c r="I55" i="32" s="1"/>
  <c r="I27" i="32" l="1"/>
  <c r="D34" i="32"/>
  <c r="I56" i="32"/>
  <c r="I57" i="32" s="1"/>
  <c r="I37" i="32" l="1"/>
  <c r="I36" i="32"/>
  <c r="I35" i="32"/>
  <c r="G67" i="32"/>
  <c r="G65" i="32" l="1"/>
  <c r="H65" i="32" s="1"/>
  <c r="G75" i="32"/>
  <c r="H75" i="32" s="1"/>
  <c r="G77" i="32"/>
  <c r="H77" i="32" s="1"/>
  <c r="H67" i="32"/>
  <c r="G76" i="32" l="1"/>
  <c r="H76" i="32" s="1"/>
  <c r="G66" i="32"/>
  <c r="H66" i="32" s="1"/>
  <c r="E67" i="32" l="1"/>
  <c r="E77" i="32" s="1"/>
  <c r="E66" i="32"/>
  <c r="E76" i="32" s="1"/>
  <c r="E65" i="32"/>
  <c r="E75" i="32" s="1"/>
  <c r="C76" i="32" l="1"/>
  <c r="C67" i="32"/>
  <c r="C65" i="32"/>
  <c r="C77" i="32" l="1"/>
  <c r="C66" i="32"/>
  <c r="C75" i="32"/>
  <c r="G15" i="30" l="1"/>
  <c r="D13" i="29" l="1"/>
  <c r="G25" i="19" l="1"/>
  <c r="G26" i="19"/>
  <c r="G23" i="19"/>
  <c r="G24" i="19"/>
  <c r="G45" i="19"/>
  <c r="G43" i="19"/>
  <c r="G37" i="19"/>
  <c r="G28" i="19"/>
  <c r="G32" i="19"/>
  <c r="G36" i="19"/>
  <c r="G40" i="19"/>
  <c r="G44" i="19"/>
  <c r="G22" i="19"/>
  <c r="G30" i="19"/>
  <c r="G34" i="19"/>
  <c r="G38" i="19"/>
  <c r="G42" i="19"/>
  <c r="G29" i="19"/>
  <c r="G33" i="19"/>
  <c r="G41" i="19"/>
  <c r="G27" i="19"/>
  <c r="G31" i="19"/>
  <c r="G35" i="19"/>
  <c r="G39" i="19"/>
  <c r="G46" i="19" l="1"/>
  <c r="G41" i="30"/>
  <c r="G19" i="30"/>
  <c r="G22" i="30"/>
  <c r="G31" i="30"/>
  <c r="G44" i="30"/>
  <c r="G30" i="30"/>
  <c r="G43" i="30"/>
  <c r="G35" i="30"/>
  <c r="G24" i="30"/>
  <c r="G26" i="30"/>
  <c r="G36" i="30"/>
  <c r="G28" i="30"/>
  <c r="G33" i="30"/>
  <c r="G42" i="30"/>
  <c r="G12" i="30"/>
  <c r="G27" i="30"/>
  <c r="G46" i="30"/>
  <c r="G23" i="30"/>
  <c r="G14" i="30"/>
  <c r="G18" i="30"/>
  <c r="G38" i="30"/>
  <c r="G40" i="30"/>
  <c r="G32" i="30"/>
  <c r="G45" i="30"/>
  <c r="G37" i="30"/>
  <c r="G29" i="30"/>
  <c r="G17" i="30"/>
  <c r="G34" i="30"/>
  <c r="G11" i="30"/>
  <c r="G39" i="30"/>
  <c r="G13" i="30"/>
  <c r="G25" i="30"/>
  <c r="G48" i="19" l="1"/>
  <c r="G47" i="19"/>
  <c r="C47" i="19" s="1"/>
  <c r="G20" i="30"/>
  <c r="G48" i="30"/>
  <c r="G47" i="30"/>
  <c r="C47" i="30" s="1"/>
  <c r="H29" i="23" l="1"/>
  <c r="G47" i="23" s="1"/>
  <c r="F29" i="23"/>
  <c r="E47" i="23" s="1"/>
  <c r="F28" i="23"/>
  <c r="E46" i="23" s="1"/>
  <c r="E37" i="24"/>
  <c r="G10" i="24"/>
  <c r="H28" i="23" s="1"/>
  <c r="G46" i="23" s="1"/>
  <c r="H34" i="23"/>
  <c r="G52" i="23" s="1"/>
  <c r="H33" i="23"/>
  <c r="G51" i="23" s="1"/>
  <c r="H32" i="23"/>
  <c r="G50" i="23" s="1"/>
  <c r="H31" i="23"/>
  <c r="G49" i="23" s="1"/>
  <c r="H30" i="23"/>
  <c r="G48" i="23" s="1"/>
  <c r="F34" i="23"/>
  <c r="E52" i="23" s="1"/>
  <c r="F33" i="23"/>
  <c r="E51" i="23" s="1"/>
  <c r="F32" i="23"/>
  <c r="E50" i="23" s="1"/>
  <c r="F31" i="23"/>
  <c r="E49" i="23" s="1"/>
  <c r="F30" i="23"/>
  <c r="E48" i="23" s="1"/>
  <c r="E42" i="24"/>
  <c r="J34" i="23" s="1"/>
  <c r="I52" i="23" s="1"/>
  <c r="E40" i="24"/>
  <c r="J32" i="23" s="1"/>
  <c r="I50" i="23" s="1"/>
  <c r="E39" i="24"/>
  <c r="J31" i="23" s="1"/>
  <c r="I49" i="23" s="1"/>
  <c r="E38" i="24"/>
  <c r="E36" i="24" s="1"/>
  <c r="J28" i="23" s="1"/>
  <c r="I46" i="23" s="1"/>
  <c r="H22" i="24"/>
  <c r="H20" i="24"/>
  <c r="H18" i="24"/>
  <c r="H16" i="24"/>
  <c r="H14" i="24"/>
  <c r="F22" i="24"/>
  <c r="F20" i="24"/>
  <c r="F18" i="24"/>
  <c r="F16" i="24"/>
  <c r="F14" i="24"/>
  <c r="H51" i="23" l="1"/>
  <c r="G33" i="23"/>
  <c r="F47" i="23"/>
  <c r="H47" i="23"/>
  <c r="H46" i="23"/>
  <c r="F50" i="23"/>
  <c r="G32" i="23"/>
  <c r="F48" i="23"/>
  <c r="F46" i="23"/>
  <c r="H48" i="23"/>
  <c r="I29" i="23"/>
  <c r="E41" i="24"/>
  <c r="J33" i="23" s="1"/>
  <c r="I51" i="23" s="1"/>
  <c r="J51" i="23" s="1"/>
  <c r="J30" i="23"/>
  <c r="I48" i="23" s="1"/>
  <c r="J48" i="23" s="1"/>
  <c r="I28" i="23"/>
  <c r="J29" i="23"/>
  <c r="I47" i="23" s="1"/>
  <c r="J47" i="23" s="1"/>
  <c r="F49" i="23"/>
  <c r="G28" i="23"/>
  <c r="J46" i="23"/>
  <c r="H50" i="23"/>
  <c r="K34" i="23"/>
  <c r="G34" i="23"/>
  <c r="K28" i="23"/>
  <c r="I34" i="23"/>
  <c r="F51" i="23"/>
  <c r="J50" i="23"/>
  <c r="J49" i="23"/>
  <c r="H49" i="23"/>
  <c r="I33" i="23" l="1"/>
  <c r="H52" i="23"/>
  <c r="H53" i="23" s="1"/>
  <c r="C9" i="30" s="1"/>
  <c r="C22" i="32"/>
  <c r="I28" i="32"/>
  <c r="I31" i="32" s="1"/>
  <c r="C62" i="32" s="1"/>
  <c r="I30" i="23"/>
  <c r="F52" i="23"/>
  <c r="F53" i="23" s="1"/>
  <c r="C8" i="30" s="1"/>
  <c r="J52" i="23"/>
  <c r="J53" i="23" s="1"/>
  <c r="C10" i="30" s="1"/>
  <c r="I32" i="23"/>
  <c r="K32" i="23"/>
  <c r="G29" i="23"/>
  <c r="G30" i="23"/>
  <c r="K30" i="23"/>
  <c r="K33" i="23"/>
  <c r="K29" i="23"/>
  <c r="I31" i="23"/>
  <c r="K31" i="23"/>
  <c r="G31" i="23"/>
  <c r="I35" i="23" l="1"/>
  <c r="C9" i="19" s="1"/>
  <c r="I29" i="32"/>
  <c r="I32" i="32" s="1"/>
  <c r="C72" i="32" s="1"/>
  <c r="E72" i="32"/>
  <c r="F76" i="32" s="1"/>
  <c r="E62" i="32"/>
  <c r="F65" i="32" s="1"/>
  <c r="D67" i="32"/>
  <c r="D66" i="32"/>
  <c r="D65" i="32"/>
  <c r="G35" i="23"/>
  <c r="C8" i="19" s="1"/>
  <c r="K35" i="23"/>
  <c r="C10" i="19" s="1"/>
  <c r="F66" i="32" l="1"/>
  <c r="I66" i="32" s="1"/>
  <c r="F9" i="19" s="1"/>
  <c r="F67" i="32"/>
  <c r="I67" i="32" s="1"/>
  <c r="F10" i="19" s="1"/>
  <c r="F75" i="32"/>
  <c r="F77" i="32"/>
  <c r="D76" i="32"/>
  <c r="I76" i="32" s="1"/>
  <c r="F9" i="30" s="1"/>
  <c r="G9" i="30" s="1"/>
  <c r="D75" i="32"/>
  <c r="D77" i="32"/>
  <c r="I65" i="32"/>
  <c r="F8" i="19" s="1"/>
  <c r="G18" i="19"/>
  <c r="G19" i="19"/>
  <c r="G15" i="19"/>
  <c r="I75" i="32" l="1"/>
  <c r="F8" i="30" s="1"/>
  <c r="G8" i="30" s="1"/>
  <c r="I77" i="32"/>
  <c r="F10" i="30" s="1"/>
  <c r="G10" i="30" s="1"/>
  <c r="G14" i="19"/>
  <c r="G13" i="19"/>
  <c r="G12" i="19"/>
  <c r="G11" i="19"/>
  <c r="G17" i="19"/>
  <c r="C25" i="39" l="1"/>
  <c r="G20" i="19"/>
  <c r="C13" i="29" l="1"/>
  <c r="B3" i="30"/>
  <c r="G8" i="19"/>
  <c r="G10" i="19"/>
  <c r="G9" i="19"/>
  <c r="C22" i="39" l="1"/>
  <c r="B13" i="29" s="1"/>
  <c r="B3"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 Grosenheider</author>
    <author>Emily Ohde</author>
  </authors>
  <commentList>
    <comment ref="B8" authorId="0" shapeId="0" xr:uid="{35A5E2E7-5FA1-4430-A9F4-2E31C428CC81}">
      <text>
        <r>
          <rPr>
            <sz val="7"/>
            <color indexed="81"/>
            <rFont val="Arial"/>
            <family val="2"/>
          </rPr>
          <t>SOx emission factor given is multiplied by the sulfur content in the fuel (in percent) in the Engine (n) tabs.</t>
        </r>
      </text>
    </comment>
    <comment ref="C8" authorId="0" shapeId="0" xr:uid="{B6ED5435-1892-47C7-9D59-3850F7151DF1}">
      <text>
        <r>
          <rPr>
            <sz val="7"/>
            <color indexed="81"/>
            <rFont val="Arial"/>
            <family val="2"/>
          </rPr>
          <t>SOx emission factor given is multiplied by the sulfur content in the fuel (in percent) in the Engine (n) tabs.</t>
        </r>
      </text>
    </comment>
    <comment ref="D8" authorId="0" shapeId="0" xr:uid="{3B13EBE5-B6D3-40A9-8976-3CB589819905}">
      <text>
        <r>
          <rPr>
            <sz val="7"/>
            <color indexed="81"/>
            <rFont val="Arial"/>
            <family val="2"/>
          </rPr>
          <t>SOx emission factor given is multiplied by the sulfur content in the fuel (in percent) in the Engine (n) tabs.</t>
        </r>
      </text>
    </comment>
    <comment ref="I8" authorId="1" shapeId="0" xr:uid="{2C309300-90E3-43E1-A68F-1E191058ECE1}">
      <text>
        <r>
          <rPr>
            <sz val="8"/>
            <color indexed="81"/>
            <rFont val="Arial"/>
            <family val="2"/>
          </rPr>
          <t xml:space="preserve">SOx emission factor given is multiplied by the sulfur content in fuel in the Engine (n) tabs. See footnote 4. </t>
        </r>
      </text>
    </comment>
  </commentList>
</comments>
</file>

<file path=xl/sharedStrings.xml><?xml version="1.0" encoding="utf-8"?>
<sst xmlns="http://schemas.openxmlformats.org/spreadsheetml/2006/main" count="1142" uniqueCount="672">
  <si>
    <t>Instructions</t>
  </si>
  <si>
    <t>Blue</t>
  </si>
  <si>
    <t>Enter information for your facility in the blue boxes.</t>
  </si>
  <si>
    <t>Orange</t>
  </si>
  <si>
    <t>Orange boxes are filled with standard values. You may change them if you have test results that provide data specific to your site.</t>
  </si>
  <si>
    <t>White</t>
  </si>
  <si>
    <t xml:space="preserve">Do not change the values/formulas in white boxes. White boxes contain intermediate calculations for determining emissions.  </t>
  </si>
  <si>
    <t>Green</t>
  </si>
  <si>
    <t>Yellow</t>
  </si>
  <si>
    <t>Assistance</t>
  </si>
  <si>
    <t>Call:</t>
  </si>
  <si>
    <t>651/282-6143</t>
  </si>
  <si>
    <t>Email:</t>
  </si>
  <si>
    <t>smallbizhelp.pca@state.mn.us</t>
  </si>
  <si>
    <t>800/657-3938</t>
  </si>
  <si>
    <t>https://www.pca.state.mn.us/sites/default/files/aq-f1-gi09d.doc</t>
  </si>
  <si>
    <t xml:space="preserve">· </t>
  </si>
  <si>
    <t>1)</t>
  </si>
  <si>
    <t>2)</t>
  </si>
  <si>
    <t>3)</t>
  </si>
  <si>
    <t>Yes</t>
  </si>
  <si>
    <t>No</t>
  </si>
  <si>
    <t>Choose Y/N</t>
  </si>
  <si>
    <t>(ton/year)</t>
  </si>
  <si>
    <t>a</t>
  </si>
  <si>
    <t>b</t>
  </si>
  <si>
    <t>c</t>
  </si>
  <si>
    <t>d</t>
  </si>
  <si>
    <t>e</t>
  </si>
  <si>
    <t>f</t>
  </si>
  <si>
    <t>g</t>
  </si>
  <si>
    <t>h</t>
  </si>
  <si>
    <t>Activity</t>
  </si>
  <si>
    <t>PM Emission Factor</t>
  </si>
  <si>
    <t>PM Emissions</t>
  </si>
  <si>
    <t>(tons/year)</t>
  </si>
  <si>
    <t>(lb/ton)</t>
  </si>
  <si>
    <t>tons/year</t>
  </si>
  <si>
    <t>Pollutant</t>
  </si>
  <si>
    <t>Emission Factor</t>
  </si>
  <si>
    <t>Potential Emissions</t>
  </si>
  <si>
    <t>Actual Emissions</t>
  </si>
  <si>
    <t>(hr/yr)</t>
  </si>
  <si>
    <t>(ton/yr)</t>
  </si>
  <si>
    <t>(tons/yr)</t>
  </si>
  <si>
    <t>PM</t>
  </si>
  <si>
    <t>PM10</t>
  </si>
  <si>
    <t>SOx</t>
  </si>
  <si>
    <t>NOx</t>
  </si>
  <si>
    <t>VOC</t>
  </si>
  <si>
    <t>CO</t>
  </si>
  <si>
    <t>Lead</t>
  </si>
  <si>
    <t>Benzene</t>
  </si>
  <si>
    <t>Formaldehyde</t>
  </si>
  <si>
    <t>Hexane</t>
  </si>
  <si>
    <t>Naphthalene</t>
  </si>
  <si>
    <t>Toluene</t>
  </si>
  <si>
    <t>HAP total</t>
  </si>
  <si>
    <t>by pollutant</t>
  </si>
  <si>
    <t>Hazardous Air Pollutants</t>
  </si>
  <si>
    <t>Greenhouse Gas Emissions</t>
  </si>
  <si>
    <t>Criteria Air Pollutants</t>
  </si>
  <si>
    <t>n/a</t>
  </si>
  <si>
    <t>Permitting Threshold</t>
  </si>
  <si>
    <t>HAP Indiv. Max</t>
  </si>
  <si>
    <t>no</t>
  </si>
  <si>
    <t>yes</t>
  </si>
  <si>
    <t>Registration Option A</t>
  </si>
  <si>
    <t>Info about Air Registration Permits</t>
  </si>
  <si>
    <t>Registration Option D</t>
  </si>
  <si>
    <t>Info about Individual Air Permits</t>
  </si>
  <si>
    <t>Application Forms, scroll to Section 1</t>
  </si>
  <si>
    <t>Forms</t>
  </si>
  <si>
    <t>Source: AP-42 13.2.2 (11/2006)</t>
  </si>
  <si>
    <t xml:space="preserve">k = PM particle size multiplier </t>
  </si>
  <si>
    <t>s = silt content of road (%)</t>
  </si>
  <si>
    <t>Vehicle 1</t>
  </si>
  <si>
    <t>Vehicle 2</t>
  </si>
  <si>
    <t>W = mean vehicle weight (ton)</t>
  </si>
  <si>
    <t>p = # of days w/ &gt;=0.01" precip/yr</t>
  </si>
  <si>
    <t>Minn. Rule 7007.0200 Subpart 2. B.</t>
  </si>
  <si>
    <t xml:space="preserve">Minn. Rule 7007.1130 Subpart 4. </t>
  </si>
  <si>
    <t>Minn. Rule 7007.1300 Subpart 3. J.</t>
  </si>
  <si>
    <t>Source: 40 CFR 98, Subp. C, Table C-1 and C-2</t>
  </si>
  <si>
    <t>PM2.5</t>
  </si>
  <si>
    <t>Actual Throughput</t>
  </si>
  <si>
    <t>Permit and insignificant activity thresholds.</t>
  </si>
  <si>
    <t>Your emission totals are in green boxes. These are automatically calculated based on information entered in blue boxes.</t>
  </si>
  <si>
    <t>The full definitions of construction and modification are available at:</t>
  </si>
  <si>
    <t xml:space="preserve">and reconstruction at: </t>
  </si>
  <si>
    <t>40 CFR § 60.2</t>
  </si>
  <si>
    <t>40 CFR § 60.15</t>
  </si>
  <si>
    <t>Color key</t>
  </si>
  <si>
    <t>Choose one</t>
  </si>
  <si>
    <t>https://www.pca.state.mn.us/smallbizhelp</t>
  </si>
  <si>
    <t>Important tips</t>
  </si>
  <si>
    <t>Air emissions for aggregates: sand and gravel</t>
  </si>
  <si>
    <t>Enter the actual tons of aggregate that went through the following equipment processes:</t>
  </si>
  <si>
    <t>Crushing</t>
  </si>
  <si>
    <t>Primary</t>
  </si>
  <si>
    <t>Secondary</t>
  </si>
  <si>
    <t>Tertiary</t>
  </si>
  <si>
    <t>Fines</t>
  </si>
  <si>
    <t>Screening</t>
  </si>
  <si>
    <t xml:space="preserve">Fines </t>
  </si>
  <si>
    <t>3 to 12 inches</t>
  </si>
  <si>
    <t>0.5 to 2.5 centimeters (3/16 to 1 inch)</t>
  </si>
  <si>
    <t xml:space="preserve">Aggregate output diameter </t>
  </si>
  <si>
    <t>maximum of 0.5 centimeters (3/16 inch)</t>
  </si>
  <si>
    <t>Conveyor Transfer Points</t>
  </si>
  <si>
    <t>b*c/2000</t>
  </si>
  <si>
    <t>b*e/2000</t>
  </si>
  <si>
    <t>b*g/2000</t>
  </si>
  <si>
    <t>Maximum Throughput</t>
  </si>
  <si>
    <t>(%)</t>
  </si>
  <si>
    <t>ND</t>
  </si>
  <si>
    <t>Uncontrolled</t>
  </si>
  <si>
    <t>Controlled</t>
  </si>
  <si>
    <t>(reason)</t>
  </si>
  <si>
    <t>Back calculated from controlled emission factor using a conservative minimum percent emission control of 80%.</t>
  </si>
  <si>
    <t>https://www3.epa.gov/ttn/chief/ap42/ch11/final/c11s1902.pdf</t>
  </si>
  <si>
    <t>Uncontrolled PM-2.5 factors</t>
  </si>
  <si>
    <t>Reference</t>
  </si>
  <si>
    <t>Emission factors and calculated percent controls</t>
  </si>
  <si>
    <t>Emissions factor assumed, worst-case, to equal PM-2.5 of secondary crusher.</t>
  </si>
  <si>
    <t>Emission factor assumed, worst-case, to be 10 times greater than uncontrolled screening PM-2.5 emission factor.</t>
  </si>
  <si>
    <t>Uncontrolled or Controlled Emission Factor</t>
  </si>
  <si>
    <t>Emission factor source: see 'Aggregate Emission Factors' tab</t>
  </si>
  <si>
    <t>Primary to Secondary &amp; 
Secondary to Tertiary</t>
  </si>
  <si>
    <t>Tertiary to Fines &amp; Fines</t>
  </si>
  <si>
    <t>Convey and Transfer Points</t>
  </si>
  <si>
    <t>Engine and fuel type</t>
  </si>
  <si>
    <t>Engine use</t>
  </si>
  <si>
    <t>Sulfur content of the fuel</t>
  </si>
  <si>
    <t>Number of hours operated per 12 months</t>
  </si>
  <si>
    <t>(lbs/MMBtu)</t>
  </si>
  <si>
    <t>1,1,2,2-tetrachloroethane</t>
  </si>
  <si>
    <t>1,1,2-trichloroethane</t>
  </si>
  <si>
    <t>1,3-butadiene</t>
  </si>
  <si>
    <t>1,3-dichloropropene</t>
  </si>
  <si>
    <t>Acetaldehyde</t>
  </si>
  <si>
    <t>Acrolein</t>
  </si>
  <si>
    <t>Biphenyl</t>
  </si>
  <si>
    <t>Carbon tetrachloride</t>
  </si>
  <si>
    <t>Chlorobenzene</t>
  </si>
  <si>
    <t>Chloroform</t>
  </si>
  <si>
    <t>Ethylbenzene</t>
  </si>
  <si>
    <t>Ethylene dibromide</t>
  </si>
  <si>
    <t>Methanol</t>
  </si>
  <si>
    <t>Methylene chloride</t>
  </si>
  <si>
    <t>PAH</t>
  </si>
  <si>
    <t>Phenol</t>
  </si>
  <si>
    <t>Styrene</t>
  </si>
  <si>
    <t>Tetrachloroethane</t>
  </si>
  <si>
    <t>Vinyl chloride</t>
  </si>
  <si>
    <t>Xylene</t>
  </si>
  <si>
    <t>RECIPROCATING Natural Gas 4-Stroke  Rich-Burn (lb/MMBtu)</t>
  </si>
  <si>
    <t>RECIPROCATING Natural Gas 4-Stroke Lean-Burn (lb/MMBtu)</t>
  </si>
  <si>
    <t>RECIPROCATING Natural Gas 2-Stroke Lean-Burn (lb/MMBtu)</t>
  </si>
  <si>
    <t>source</t>
  </si>
  <si>
    <t>AP42 Chpt 3.3 (10/96)</t>
  </si>
  <si>
    <t>AP42 Chpt 3.4 (10/96)</t>
  </si>
  <si>
    <t>AP42 Chpt 3.1 (4/00)</t>
  </si>
  <si>
    <t>AP42 Chpt 3.2-3 (7/00)</t>
  </si>
  <si>
    <t>AP42 Chpt 3.2-2 (7/00)</t>
  </si>
  <si>
    <t>40 CFR 98, subp. C, Table C-1 and C-2</t>
  </si>
  <si>
    <t xml:space="preserve"> </t>
  </si>
  <si>
    <t>HAPs from Diesel&lt;600HP</t>
  </si>
  <si>
    <t>SOx emission factor given is multiplied by the sulfur content in the fuel (in percent) in the Engine (n) tabs.</t>
  </si>
  <si>
    <t xml:space="preserve">All particulate is assumed to be less than or equal to 1 micrometer in size. </t>
  </si>
  <si>
    <t>Fuel</t>
  </si>
  <si>
    <t>Source for Emission Factors</t>
  </si>
  <si>
    <t>NATURAL GAS</t>
  </si>
  <si>
    <t>DISTILLATE OIL 2</t>
  </si>
  <si>
    <t>GASOLINE</t>
  </si>
  <si>
    <t>(1 lb = 0.453592 kg)</t>
  </si>
  <si>
    <t>An average brake-specific fuel consumption of 7,000 Btu/hp-hr was assumed to convert from lb/MMBtu to lb/hp-hr (see AP42 Chpt 3.3).</t>
  </si>
  <si>
    <t>7000 btu/hp*hr x GHG EF (lb/E6BTU)= lb GHG/hp*hr</t>
  </si>
  <si>
    <t>Reciprocating - diesel</t>
  </si>
  <si>
    <t>Routine</t>
  </si>
  <si>
    <t>Reciprocating - gasoline</t>
  </si>
  <si>
    <t>Emergency</t>
  </si>
  <si>
    <t>Turbine - natural gas</t>
  </si>
  <si>
    <t>Recip - nat gas 4-stroke rich burn</t>
  </si>
  <si>
    <t>Recip - nat gas 4-stroke lean burn</t>
  </si>
  <si>
    <t>Recip - nat gas 2-stroke lean burn</t>
  </si>
  <si>
    <t>Generator</t>
  </si>
  <si>
    <t>Crusher Engine</t>
  </si>
  <si>
    <t>Aggregate</t>
  </si>
  <si>
    <t>Fugitives</t>
  </si>
  <si>
    <t>Selection</t>
  </si>
  <si>
    <t>Does the NSPS for nonmetallic mineral processors apply to you?</t>
  </si>
  <si>
    <t>your fixed plant is larger than 25 tons/hour or your portable plant is larger than 150 tons/hour, AND</t>
  </si>
  <si>
    <t>40 CFR pt. 60, subp. OOO</t>
  </si>
  <si>
    <t>Standards of Performance for Compression Ignition Engines</t>
  </si>
  <si>
    <t>Full Text:</t>
  </si>
  <si>
    <t>40 CFR 60, subp. IIII</t>
  </si>
  <si>
    <t xml:space="preserve">Standards of Performance for Spark Ignition Engines </t>
  </si>
  <si>
    <t>40 CFR 60, subp. JJJJ</t>
  </si>
  <si>
    <t xml:space="preserve">To help understand if the rule applies, use the Regulation Navigation Tool provided by EPA for NSPS IIII and JJJJ. </t>
  </si>
  <si>
    <t>Does the NSPS for volatile organic liquid (petroleum) storage apply to you?</t>
  </si>
  <si>
    <t>stores volatile organic liquids (including petroleum products such as fuel).</t>
  </si>
  <si>
    <t>The full text of NSPS for volatile liquid storage is available at:</t>
  </si>
  <si>
    <t>40 CFR pt. 60, subp. Kb</t>
  </si>
  <si>
    <t>Stationary Reciprocating Internal Combustion Engines</t>
  </si>
  <si>
    <t>40 CFR 63, subp. ZZZZ</t>
  </si>
  <si>
    <t>EPA Rule information</t>
  </si>
  <si>
    <t>The two NSPSs that apply to engines are:</t>
  </si>
  <si>
    <t>National emission standards for hazardous air pollutants</t>
  </si>
  <si>
    <t>To help understand if the rule applies, use the Regulation Navigation Tool provided by EPA</t>
  </si>
  <si>
    <t>Source: AP-42 13.2.4 (11/2006)</t>
  </si>
  <si>
    <t>U = mean wind speed (mph)</t>
  </si>
  <si>
    <t>M = material moisture content (%)</t>
  </si>
  <si>
    <t>Is a permit required?</t>
  </si>
  <si>
    <t>Applicability of a NESHAP does not determine if a permit is required.</t>
  </si>
  <si>
    <t>NM-00: Qualifications Review Checklist – Nonmetallic Mineral Processing General Permit (aq-f4-nm00)</t>
  </si>
  <si>
    <t>3) Installing any permit-required engine, including emergency engines.</t>
  </si>
  <si>
    <t>https://www.epa.gov/scram/air-quality-dispersion-modeling-screening-models#screen3</t>
  </si>
  <si>
    <t xml:space="preserve">See input requirements and instructions on modeling more than one engine on the MPCA Form EC-03. </t>
  </si>
  <si>
    <t>https://www.pca.state.mn.us/sites/default/files/aq-f1-ec03.doc</t>
  </si>
  <si>
    <t>https://www.pca.state.mn.us/air/engines</t>
  </si>
  <si>
    <t>Equation/reference</t>
  </si>
  <si>
    <t>NSPS applies</t>
  </si>
  <si>
    <t>NSPS no selection</t>
  </si>
  <si>
    <t>exceed permit thresholds</t>
  </si>
  <si>
    <t>exceed Option D limits</t>
  </si>
  <si>
    <t>apply to your business</t>
  </si>
  <si>
    <t>A federal NESHAP</t>
  </si>
  <si>
    <t>A federal NSPS</t>
  </si>
  <si>
    <t>Engines</t>
  </si>
  <si>
    <t xml:space="preserve">▪ </t>
  </si>
  <si>
    <t xml:space="preserve">Each NSPS or NESHAP applies to specific equipment, processes, or industries. </t>
  </si>
  <si>
    <t>Reconstruction is the replacement of components at an existing facility that exceeds 50% of the cost required to build a new facility.</t>
  </si>
  <si>
    <t>New source performance standards (NSPS)</t>
  </si>
  <si>
    <t>Does a federal NESHAP apply?</t>
  </si>
  <si>
    <t>Potential emissions exceed permit thresholds</t>
  </si>
  <si>
    <t>Actual emissions exceed Option D limits</t>
  </si>
  <si>
    <t>Federal NESHAP applies?</t>
  </si>
  <si>
    <t>Empty weight of vehicle (tons)</t>
  </si>
  <si>
    <t>Full weight of loaded vehicle (tons)</t>
  </si>
  <si>
    <t>% of total trips made by vehicle</t>
  </si>
  <si>
    <t>S = speed on unpaved road, mph</t>
  </si>
  <si>
    <t>PM emission factor (lb/VMT)</t>
  </si>
  <si>
    <t>PM emission factor (lb/ton)</t>
  </si>
  <si>
    <t>General data</t>
  </si>
  <si>
    <t>Potential exceed</t>
  </si>
  <si>
    <t>Actual exceed</t>
  </si>
  <si>
    <t>Enter the data for your trucks below to calculate unpaved road emissions.</t>
  </si>
  <si>
    <t>M = surface moisture content (%)</t>
  </si>
  <si>
    <t>m = miles of unpaved road per trip</t>
  </si>
  <si>
    <t>your plant or equipment was constructed, reconstructed, or modified* after August 31, 1983.</t>
  </si>
  <si>
    <t>Federal standards can determine whether you need a permit and what requirements you must follow. You may have to follow federal standard requirements in addition to state permit requirements. Below are some of the common federal standards that affect aggregate mining and processing.</t>
  </si>
  <si>
    <t xml:space="preserve">There are 18 nonmetallic minerals, including 'crushed and broken stone' and 'sand and gravel,' whose crusher, grinding mill, screens, bucket elevator, belt conveyor, bagging operation, storage bins, and truck loading stations are addressed by this regulation to reduce particulate matter air emissions. </t>
  </si>
  <si>
    <t>There are also engine standards for hazardous air pollutants -- see NESHAP info below.</t>
  </si>
  <si>
    <t xml:space="preserve">This standard applies if you have a storage tank or container at your site that: </t>
  </si>
  <si>
    <t xml:space="preserve">was constructed, reconstructed, or modified* after July 23, 1984, </t>
  </si>
  <si>
    <t>holds about 19,800 gallons or more, and</t>
  </si>
  <si>
    <t>A list of other NESHAPs is found at the end of the following document:</t>
  </si>
  <si>
    <t>A NESHAP that may apply to your crusher engine or generator is for:</t>
  </si>
  <si>
    <t xml:space="preserve">If your business does an activity which is considered construction, modification, or reconstruction, as defined below or within the standard, an NSPS or NESHAP may apply to your business or create the need for a permit amendment. </t>
  </si>
  <si>
    <t>Construction includes fabricating, erecting, or installing an aggregate plant, engine, or storage tank.</t>
  </si>
  <si>
    <t>Modification is a physical or operational change at an existing facility that increases the amount of an air pollutant or results in the emission of a new air pollutant.</t>
  </si>
  <si>
    <t>number of transfer points</t>
  </si>
  <si>
    <t>PM = {{[k[(s/12)^1][(S/30)^0.3)]/[(M/0.5)^0.3]}-0.00047}*(365-p/365)</t>
  </si>
  <si>
    <t>PM-10 = {{[k[(s/12)^1][(S/30)^0.5)]/[(M/0.5)^0.2]}-0.00047}*(365-p/365)</t>
  </si>
  <si>
    <t>PM-10 = {{[k[(s/12)^1][(S/30)^0.5)]/[(M/0.5)^0.2]}-0.00036}*(365-p/365)</t>
  </si>
  <si>
    <t>s = silt content of material (%)</t>
  </si>
  <si>
    <t>a = acres of pile base</t>
  </si>
  <si>
    <t>f = % wind &gt; 12 mph at pile height</t>
  </si>
  <si>
    <t>PM emission factor (lb/day*acre)</t>
  </si>
  <si>
    <t xml:space="preserve">Throughput  (maximum capacity) </t>
  </si>
  <si>
    <t xml:space="preserve">Throughput (actual amount) </t>
  </si>
  <si>
    <t>Input Value</t>
  </si>
  <si>
    <t>Fuel Conversion</t>
  </si>
  <si>
    <t>Brake specific fuel consumption</t>
  </si>
  <si>
    <t>Heat value of fuel</t>
  </si>
  <si>
    <t>40 CFR pt. 60, subp. UUU</t>
  </si>
  <si>
    <t>See the application forms on the air permit and forms page – scroll down the webpage to #4.</t>
  </si>
  <si>
    <t>Be sure to complete and include Form SCP-01 with your application.</t>
  </si>
  <si>
    <t>MPCA Air permits page for engines</t>
  </si>
  <si>
    <t>A stack height determination is required if:</t>
  </si>
  <si>
    <t>Crusher engine and generator</t>
  </si>
  <si>
    <t>Does your business qualify for the nonmetallic mineral general permit?</t>
  </si>
  <si>
    <t>A list of performance standards is available at:</t>
  </si>
  <si>
    <t>Does your business qualify for the MPCA general air permit for nonmetallic mineral processors?</t>
  </si>
  <si>
    <t>Air permit forms webpage</t>
  </si>
  <si>
    <t>SCP-01: Submittal cover page (aq-f1-scp01)</t>
  </si>
  <si>
    <t>More information on types of air permits</t>
  </si>
  <si>
    <t>your business' overall potential air emissions exceed permit thresholds.</t>
  </si>
  <si>
    <t>On the federal standards tab, you indicated that the following performance standards apply:</t>
  </si>
  <si>
    <t>The permits and requirements tab will help you decide which permit best fits your facility.</t>
  </si>
  <si>
    <t>See if your potential emissions exceed permit thresholds. Continue to the following blue tabs to calculate your potential emissions.</t>
  </si>
  <si>
    <t>Potential emissions</t>
  </si>
  <si>
    <r>
      <rPr>
        <b/>
        <sz val="10"/>
        <color theme="1"/>
        <rFont val="Arial"/>
        <family val="2"/>
      </rPr>
      <t>New source performance standards (NSPS)</t>
    </r>
    <r>
      <rPr>
        <sz val="10"/>
        <rFont val="Arial"/>
        <family val="2"/>
      </rPr>
      <t xml:space="preserve"> require new emission sources to be less polluting than older sources.</t>
    </r>
  </si>
  <si>
    <r>
      <rPr>
        <b/>
        <sz val="10"/>
        <rFont val="Arial"/>
        <family val="2"/>
      </rPr>
      <t>National emission standards for hazardous air pollutants (NESHAP)</t>
    </r>
    <r>
      <rPr>
        <sz val="10"/>
        <rFont val="Arial"/>
        <family val="2"/>
      </rPr>
      <t xml:space="preserve"> prevent or reduce emissions that have health impacts.</t>
    </r>
  </si>
  <si>
    <t>Does the NSPS for calciners and dryers or another NSPS apply to you?</t>
  </si>
  <si>
    <t>The standard for calciners and dryers in mineral industries applies if:</t>
  </si>
  <si>
    <t>you use a dryer or calciner at your site that was purchased, constructed, reconstructed, or modified* after April 23, 1986.</t>
  </si>
  <si>
    <t>Does an NSPS for internal combustion engines apply to you?</t>
  </si>
  <si>
    <t>Additional performance standards: Even if the standards listed above do not apply to you, there are other NSPS that might, depending on what other equipment or activities you have at the facility.</t>
  </si>
  <si>
    <t>Resource</t>
  </si>
  <si>
    <t>Regulation</t>
  </si>
  <si>
    <t xml:space="preserve">Then, if your potential emissions exceed permitting thresholds, you may qualify for the general permit. Go to the qualification checklist below or to the permits and requirements tab. </t>
  </si>
  <si>
    <r>
      <t>PM</t>
    </r>
    <r>
      <rPr>
        <b/>
        <vertAlign val="subscript"/>
        <sz val="10"/>
        <color theme="1"/>
        <rFont val="Arial"/>
        <family val="2"/>
      </rPr>
      <t>10</t>
    </r>
    <r>
      <rPr>
        <b/>
        <sz val="10"/>
        <color theme="1"/>
        <rFont val="Arial"/>
        <family val="2"/>
      </rPr>
      <t xml:space="preserve"> Emission Factor</t>
    </r>
  </si>
  <si>
    <r>
      <t>PM</t>
    </r>
    <r>
      <rPr>
        <b/>
        <vertAlign val="subscript"/>
        <sz val="10"/>
        <color theme="1"/>
        <rFont val="Arial"/>
        <family val="2"/>
      </rPr>
      <t>10</t>
    </r>
    <r>
      <rPr>
        <b/>
        <sz val="10"/>
        <color theme="1"/>
        <rFont val="Arial"/>
        <family val="2"/>
      </rPr>
      <t xml:space="preserve"> Emissions</t>
    </r>
  </si>
  <si>
    <r>
      <t>PM</t>
    </r>
    <r>
      <rPr>
        <b/>
        <vertAlign val="subscript"/>
        <sz val="10"/>
        <color theme="1"/>
        <rFont val="Arial"/>
        <family val="2"/>
      </rPr>
      <t>2.5</t>
    </r>
    <r>
      <rPr>
        <b/>
        <sz val="10"/>
        <color theme="1"/>
        <rFont val="Arial"/>
        <family val="2"/>
      </rPr>
      <t xml:space="preserve"> Emission Factor</t>
    </r>
  </si>
  <si>
    <r>
      <t>PM</t>
    </r>
    <r>
      <rPr>
        <b/>
        <vertAlign val="subscript"/>
        <sz val="10"/>
        <color theme="1"/>
        <rFont val="Arial"/>
        <family val="2"/>
      </rPr>
      <t>2.5</t>
    </r>
    <r>
      <rPr>
        <b/>
        <sz val="10"/>
        <color theme="1"/>
        <rFont val="Arial"/>
        <family val="2"/>
      </rPr>
      <t xml:space="preserve"> Emissions</t>
    </r>
  </si>
  <si>
    <r>
      <t>Total tons of emissions</t>
    </r>
    <r>
      <rPr>
        <sz val="9"/>
        <color theme="1"/>
        <rFont val="Arial"/>
        <family val="2"/>
      </rPr>
      <t xml:space="preserve"> (excluding combustion from engines)</t>
    </r>
  </si>
  <si>
    <r>
      <t>PM</t>
    </r>
    <r>
      <rPr>
        <b/>
        <vertAlign val="subscript"/>
        <sz val="10"/>
        <color theme="1"/>
        <rFont val="Arial"/>
        <family val="2"/>
      </rPr>
      <t>2.5</t>
    </r>
    <r>
      <rPr>
        <b/>
        <sz val="10"/>
        <color theme="1"/>
        <rFont val="Arial"/>
        <family val="2"/>
      </rPr>
      <t xml:space="preserve"> Emission Factor</t>
    </r>
    <r>
      <rPr>
        <b/>
        <vertAlign val="superscript"/>
        <sz val="10"/>
        <color theme="1"/>
        <rFont val="Arial"/>
        <family val="2"/>
      </rPr>
      <t>1</t>
    </r>
  </si>
  <si>
    <r>
      <t>CO</t>
    </r>
    <r>
      <rPr>
        <vertAlign val="subscript"/>
        <sz val="10"/>
        <rFont val="Arial"/>
        <family val="2"/>
      </rPr>
      <t xml:space="preserve">2 </t>
    </r>
    <r>
      <rPr>
        <vertAlign val="superscript"/>
        <sz val="10"/>
        <rFont val="Arial"/>
        <family val="2"/>
      </rPr>
      <t>2</t>
    </r>
  </si>
  <si>
    <r>
      <t>CH</t>
    </r>
    <r>
      <rPr>
        <vertAlign val="subscript"/>
        <sz val="10"/>
        <rFont val="Arial"/>
        <family val="2"/>
      </rPr>
      <t xml:space="preserve">4 </t>
    </r>
    <r>
      <rPr>
        <vertAlign val="superscript"/>
        <sz val="10"/>
        <rFont val="Arial"/>
        <family val="2"/>
      </rPr>
      <t>2</t>
    </r>
  </si>
  <si>
    <r>
      <t>N</t>
    </r>
    <r>
      <rPr>
        <vertAlign val="subscript"/>
        <sz val="10"/>
        <rFont val="Arial"/>
        <family val="2"/>
      </rPr>
      <t>2</t>
    </r>
    <r>
      <rPr>
        <sz val="10"/>
        <rFont val="Arial"/>
        <family val="2"/>
      </rPr>
      <t>O</t>
    </r>
    <r>
      <rPr>
        <vertAlign val="superscript"/>
        <sz val="10"/>
        <rFont val="Arial"/>
        <family val="2"/>
      </rPr>
      <t xml:space="preserve"> 2</t>
    </r>
  </si>
  <si>
    <r>
      <t>V</t>
    </r>
    <r>
      <rPr>
        <vertAlign val="subscript"/>
        <sz val="10"/>
        <rFont val="Arial"/>
        <family val="2"/>
      </rPr>
      <t>potential</t>
    </r>
    <r>
      <rPr>
        <sz val="10"/>
        <rFont val="Arial"/>
        <family val="2"/>
      </rPr>
      <t xml:space="preserve"> = # vehicle trips / yr</t>
    </r>
  </si>
  <si>
    <r>
      <t>V</t>
    </r>
    <r>
      <rPr>
        <vertAlign val="subscript"/>
        <sz val="10"/>
        <rFont val="Arial"/>
        <family val="2"/>
      </rPr>
      <t>actual</t>
    </r>
    <r>
      <rPr>
        <sz val="10"/>
        <rFont val="Arial"/>
        <family val="2"/>
      </rPr>
      <t xml:space="preserve"> = # vehicle trips / yr</t>
    </r>
  </si>
  <si>
    <r>
      <t>Potential Vehicle Miles Traveled (VMT)/yr = V</t>
    </r>
    <r>
      <rPr>
        <vertAlign val="subscript"/>
        <sz val="10"/>
        <rFont val="Arial"/>
        <family val="2"/>
      </rPr>
      <t>potential</t>
    </r>
    <r>
      <rPr>
        <sz val="10"/>
        <rFont val="Arial"/>
        <family val="2"/>
      </rPr>
      <t xml:space="preserve"> x miles</t>
    </r>
  </si>
  <si>
    <r>
      <t>Actual Vehicle Miles Traveled (VMT)/yr = V</t>
    </r>
    <r>
      <rPr>
        <vertAlign val="subscript"/>
        <sz val="10"/>
        <rFont val="Arial"/>
        <family val="2"/>
      </rPr>
      <t>actual</t>
    </r>
    <r>
      <rPr>
        <sz val="10"/>
        <rFont val="Arial"/>
        <family val="2"/>
      </rPr>
      <t xml:space="preserve"> x miles</t>
    </r>
  </si>
  <si>
    <r>
      <rPr>
        <vertAlign val="superscript"/>
        <sz val="10"/>
        <rFont val="Arial"/>
        <family val="2"/>
      </rPr>
      <t>4</t>
    </r>
  </si>
  <si>
    <r>
      <t>Unpaved road emission factor equation</t>
    </r>
    <r>
      <rPr>
        <vertAlign val="superscript"/>
        <sz val="10"/>
        <rFont val="Arial"/>
        <family val="2"/>
      </rPr>
      <t>3</t>
    </r>
  </si>
  <si>
    <r>
      <t>k</t>
    </r>
    <r>
      <rPr>
        <vertAlign val="subscript"/>
        <sz val="10"/>
        <rFont val="Arial"/>
        <family val="2"/>
      </rPr>
      <t>10</t>
    </r>
    <r>
      <rPr>
        <sz val="10"/>
        <rFont val="Arial"/>
        <family val="2"/>
      </rPr>
      <t xml:space="preserve"> = PM</t>
    </r>
    <r>
      <rPr>
        <vertAlign val="subscript"/>
        <sz val="10"/>
        <rFont val="Arial"/>
        <family val="2"/>
      </rPr>
      <t>10</t>
    </r>
    <r>
      <rPr>
        <sz val="10"/>
        <rFont val="Arial"/>
        <family val="2"/>
      </rPr>
      <t xml:space="preserve"> particle size multiplier </t>
    </r>
  </si>
  <si>
    <r>
      <t>PM</t>
    </r>
    <r>
      <rPr>
        <vertAlign val="subscript"/>
        <sz val="10"/>
        <rFont val="Arial"/>
        <family val="2"/>
      </rPr>
      <t>10</t>
    </r>
    <r>
      <rPr>
        <sz val="10"/>
        <rFont val="Arial"/>
        <family val="2"/>
      </rPr>
      <t xml:space="preserve"> emission factor (lb/VMT)</t>
    </r>
  </si>
  <si>
    <r>
      <t>k</t>
    </r>
    <r>
      <rPr>
        <vertAlign val="subscript"/>
        <sz val="10"/>
        <rFont val="Arial"/>
        <family val="2"/>
      </rPr>
      <t>2.5</t>
    </r>
    <r>
      <rPr>
        <sz val="10"/>
        <rFont val="Arial"/>
        <family val="2"/>
      </rPr>
      <t xml:space="preserve"> = PM</t>
    </r>
    <r>
      <rPr>
        <vertAlign val="subscript"/>
        <sz val="10"/>
        <rFont val="Arial"/>
        <family val="2"/>
      </rPr>
      <t>2.5</t>
    </r>
    <r>
      <rPr>
        <sz val="10"/>
        <rFont val="Arial"/>
        <family val="2"/>
      </rPr>
      <t xml:space="preserve"> particle size multiplier </t>
    </r>
  </si>
  <si>
    <r>
      <t>PM</t>
    </r>
    <r>
      <rPr>
        <vertAlign val="subscript"/>
        <sz val="10"/>
        <rFont val="Arial"/>
        <family val="2"/>
      </rPr>
      <t>2.5</t>
    </r>
    <r>
      <rPr>
        <sz val="10"/>
        <rFont val="Arial"/>
        <family val="2"/>
      </rPr>
      <t xml:space="preserve"> emission factor (lb/VMT)</t>
    </r>
  </si>
  <si>
    <r>
      <t>Material handling emission factor equation</t>
    </r>
    <r>
      <rPr>
        <vertAlign val="superscript"/>
        <sz val="10"/>
        <color theme="1"/>
        <rFont val="Arial"/>
        <family val="2"/>
      </rPr>
      <t>6</t>
    </r>
  </si>
  <si>
    <r>
      <t>PM</t>
    </r>
    <r>
      <rPr>
        <vertAlign val="subscript"/>
        <sz val="10"/>
        <rFont val="Arial"/>
        <family val="2"/>
      </rPr>
      <t>10</t>
    </r>
    <r>
      <rPr>
        <sz val="10"/>
        <rFont val="Arial"/>
        <family val="2"/>
      </rPr>
      <t xml:space="preserve"> emission factor (lb/ton)</t>
    </r>
  </si>
  <si>
    <r>
      <t>PM</t>
    </r>
    <r>
      <rPr>
        <vertAlign val="subscript"/>
        <sz val="10"/>
        <rFont val="Arial"/>
        <family val="2"/>
      </rPr>
      <t>2.5</t>
    </r>
    <r>
      <rPr>
        <sz val="10"/>
        <rFont val="Arial"/>
        <family val="2"/>
      </rPr>
      <t xml:space="preserve"> emission factor (lb/ton)</t>
    </r>
  </si>
  <si>
    <r>
      <rPr>
        <vertAlign val="superscript"/>
        <sz val="9"/>
        <color theme="1"/>
        <rFont val="Arial"/>
        <family val="2"/>
      </rPr>
      <t xml:space="preserve">1 </t>
    </r>
    <r>
      <rPr>
        <sz val="9"/>
        <color theme="1"/>
        <rFont val="Arial"/>
        <family val="2"/>
      </rPr>
      <t xml:space="preserve">Sources: </t>
    </r>
  </si>
  <si>
    <r>
      <t xml:space="preserve">2 </t>
    </r>
    <r>
      <rPr>
        <sz val="9"/>
        <color theme="1"/>
        <rFont val="Arial"/>
        <family val="2"/>
      </rPr>
      <t>Unpaved road emissions reference sources:</t>
    </r>
  </si>
  <si>
    <r>
      <t xml:space="preserve">3 </t>
    </r>
    <r>
      <rPr>
        <sz val="9"/>
        <color theme="1"/>
        <rFont val="Arial"/>
        <family val="2"/>
      </rPr>
      <t>Unpaved road particulate matter emission factor equation (lb/VMT)</t>
    </r>
  </si>
  <si>
    <r>
      <t xml:space="preserve">5 </t>
    </r>
    <r>
      <rPr>
        <sz val="9"/>
        <color theme="1"/>
        <rFont val="Arial"/>
        <family val="2"/>
      </rPr>
      <t>Stockpile reference</t>
    </r>
  </si>
  <si>
    <r>
      <rPr>
        <vertAlign val="superscript"/>
        <sz val="9"/>
        <color theme="1"/>
        <rFont val="Arial"/>
        <family val="2"/>
      </rPr>
      <t>6</t>
    </r>
    <r>
      <rPr>
        <sz val="9"/>
        <color theme="1"/>
        <rFont val="Arial"/>
        <family val="2"/>
      </rPr>
      <t xml:space="preserve"> Stockpile emission factor equation (lb/ton) = k(0.0032)((U/5)</t>
    </r>
    <r>
      <rPr>
        <vertAlign val="superscript"/>
        <sz val="9"/>
        <color theme="1"/>
        <rFont val="Arial"/>
        <family val="2"/>
      </rPr>
      <t>1.3</t>
    </r>
    <r>
      <rPr>
        <sz val="9"/>
        <color theme="1"/>
        <rFont val="Arial"/>
        <family val="2"/>
      </rPr>
      <t>/(M/2)</t>
    </r>
    <r>
      <rPr>
        <vertAlign val="superscript"/>
        <sz val="9"/>
        <color theme="1"/>
        <rFont val="Arial"/>
        <family val="2"/>
      </rPr>
      <t>1.4</t>
    </r>
    <r>
      <rPr>
        <sz val="9"/>
        <color theme="1"/>
        <rFont val="Arial"/>
        <family val="2"/>
      </rPr>
      <t>)</t>
    </r>
  </si>
  <si>
    <r>
      <t>Fugitive emissions</t>
    </r>
    <r>
      <rPr>
        <b/>
        <vertAlign val="superscript"/>
        <sz val="11"/>
        <color theme="1"/>
        <rFont val="Arial"/>
        <family val="2"/>
      </rPr>
      <t>1</t>
    </r>
  </si>
  <si>
    <r>
      <t>Unpaved road</t>
    </r>
    <r>
      <rPr>
        <b/>
        <vertAlign val="superscript"/>
        <sz val="11"/>
        <color theme="1"/>
        <rFont val="Arial"/>
        <family val="2"/>
      </rPr>
      <t>2</t>
    </r>
  </si>
  <si>
    <r>
      <rPr>
        <vertAlign val="superscript"/>
        <sz val="9"/>
        <color theme="1"/>
        <rFont val="Arial"/>
        <family val="2"/>
      </rPr>
      <t xml:space="preserve">8 </t>
    </r>
    <r>
      <rPr>
        <sz val="9"/>
        <color theme="1"/>
        <rFont val="Arial"/>
        <family val="2"/>
      </rPr>
      <t>Wind erosion emission factor equation (lb/day/acre)=1.7(s/1.5)((365-p)/235)(f/15)</t>
    </r>
  </si>
  <si>
    <r>
      <t>Material handling at stockpiles</t>
    </r>
    <r>
      <rPr>
        <b/>
        <vertAlign val="superscript"/>
        <sz val="11"/>
        <color theme="1"/>
        <rFont val="Arial"/>
        <family val="2"/>
      </rPr>
      <t>5</t>
    </r>
  </si>
  <si>
    <r>
      <t>Wind erosion of ground pile</t>
    </r>
    <r>
      <rPr>
        <b/>
        <vertAlign val="superscript"/>
        <sz val="11"/>
        <color theme="1"/>
        <rFont val="Arial"/>
        <family val="2"/>
      </rPr>
      <t>7</t>
    </r>
  </si>
  <si>
    <t>Wind erosion of ground pile</t>
  </si>
  <si>
    <t>(365d*a/yr)</t>
  </si>
  <si>
    <t>Material handling at stockpiles</t>
  </si>
  <si>
    <t>Unpaved road</t>
  </si>
  <si>
    <t>(VMT/yr)</t>
  </si>
  <si>
    <t>(lb/VMT)</t>
  </si>
  <si>
    <t>Emission factor</t>
  </si>
  <si>
    <t>(lb/d*acre)</t>
  </si>
  <si>
    <t>Potential</t>
  </si>
  <si>
    <t>(d*a/yr)</t>
  </si>
  <si>
    <t>Potential fugitive emissions</t>
  </si>
  <si>
    <t>Actual fugitive emissions</t>
  </si>
  <si>
    <t>Air emissions from fugitive sources</t>
  </si>
  <si>
    <t>Actual emissions</t>
  </si>
  <si>
    <r>
      <t>Greenhouse Gas Emissions</t>
    </r>
    <r>
      <rPr>
        <sz val="10"/>
        <color theme="1"/>
        <rFont val="Arial"/>
        <family val="2"/>
      </rPr>
      <t xml:space="preserve"> </t>
    </r>
  </si>
  <si>
    <r>
      <t>CO</t>
    </r>
    <r>
      <rPr>
        <vertAlign val="subscript"/>
        <sz val="10"/>
        <rFont val="Arial"/>
        <family val="2"/>
      </rPr>
      <t>2</t>
    </r>
  </si>
  <si>
    <r>
      <t>CH</t>
    </r>
    <r>
      <rPr>
        <vertAlign val="subscript"/>
        <sz val="10"/>
        <rFont val="Arial"/>
        <family val="2"/>
      </rPr>
      <t>4</t>
    </r>
  </si>
  <si>
    <r>
      <t>N</t>
    </r>
    <r>
      <rPr>
        <vertAlign val="subscript"/>
        <sz val="10"/>
        <rFont val="Arial"/>
        <family val="2"/>
      </rPr>
      <t>2</t>
    </r>
    <r>
      <rPr>
        <sz val="10"/>
        <rFont val="Arial"/>
        <family val="2"/>
      </rPr>
      <t>O</t>
    </r>
  </si>
  <si>
    <r>
      <t>GHG Total CO</t>
    </r>
    <r>
      <rPr>
        <vertAlign val="subscript"/>
        <sz val="10"/>
        <color theme="1"/>
        <rFont val="Arial"/>
        <family val="2"/>
      </rPr>
      <t>2</t>
    </r>
    <r>
      <rPr>
        <sz val="10"/>
        <color theme="1"/>
        <rFont val="Arial"/>
        <family val="2"/>
      </rPr>
      <t>e</t>
    </r>
  </si>
  <si>
    <r>
      <t xml:space="preserve">PM Emission Control </t>
    </r>
    <r>
      <rPr>
        <sz val="10"/>
        <color theme="1"/>
        <rFont val="Arial"/>
        <family val="2"/>
      </rPr>
      <t>(calculated)</t>
    </r>
  </si>
  <si>
    <r>
      <t>PM</t>
    </r>
    <r>
      <rPr>
        <b/>
        <vertAlign val="subscript"/>
        <sz val="10"/>
        <color theme="1"/>
        <rFont val="Arial"/>
        <family val="2"/>
      </rPr>
      <t>2.5</t>
    </r>
    <r>
      <rPr>
        <b/>
        <sz val="10"/>
        <color theme="1"/>
        <rFont val="Arial"/>
        <family val="2"/>
      </rPr>
      <t xml:space="preserve"> Emission Control</t>
    </r>
  </si>
  <si>
    <r>
      <t>Primary</t>
    </r>
    <r>
      <rPr>
        <vertAlign val="superscript"/>
        <sz val="10"/>
        <color theme="1"/>
        <rFont val="Arial"/>
        <family val="2"/>
      </rPr>
      <t>1</t>
    </r>
  </si>
  <si>
    <r>
      <t>Secondary</t>
    </r>
    <r>
      <rPr>
        <vertAlign val="superscript"/>
        <sz val="10"/>
        <color theme="1"/>
        <rFont val="Arial"/>
        <family val="2"/>
      </rPr>
      <t>2</t>
    </r>
  </si>
  <si>
    <r>
      <rPr>
        <vertAlign val="superscript"/>
        <sz val="8"/>
        <rFont val="Arial"/>
        <family val="2"/>
      </rPr>
      <t>1</t>
    </r>
    <r>
      <rPr>
        <sz val="8"/>
        <rFont val="Arial"/>
        <family val="2"/>
      </rPr>
      <t>Emission factors from AP-42, Chapter 11.19-2, unless otherwise stated.</t>
    </r>
  </si>
  <si>
    <r>
      <rPr>
        <vertAlign val="superscript"/>
        <sz val="8"/>
        <rFont val="Arial"/>
        <family val="2"/>
      </rPr>
      <t>2</t>
    </r>
    <r>
      <rPr>
        <sz val="8"/>
        <rFont val="Arial"/>
        <family val="2"/>
      </rPr>
      <t>WebFIRE SCC 3-05-020-01: EPA.  1995.  Section 11.19.2, Construction Aggregate Processing: Crushed Stone Processing.  In: Compilation of Air Pollutant Emission Factors, Volume 1: Stationary Point and Area Sources, Fifth Edition, AP-42.  U.S. Environmental Protection Agency, Office of Air Quality Planning and Standards.  Research Triangle Park, North Carolina. (Assume PM = PM-10)</t>
    </r>
  </si>
  <si>
    <r>
      <t>3</t>
    </r>
    <r>
      <rPr>
        <sz val="8"/>
        <rFont val="Arial"/>
        <family val="2"/>
      </rPr>
      <t>WebFIRE SCC 3-05-020-02: EPA.  August, 2004.  Section 11.19.2, Crushed Stone Processing and Pulverized Mineral Processing.  In: Compilation of Air Pollutant Emission Factors, Volume 1: Stationary Point and Area Sources, Fifth Edition, AP-42.  U.S. Environmental Protection Agency, Office of Air Quality Planning and Standards.  Research Triangle Park, North Carolina.</t>
    </r>
  </si>
  <si>
    <t>Then…</t>
  </si>
  <si>
    <t>When…</t>
  </si>
  <si>
    <r>
      <t xml:space="preserve">NSPS UUU or NSPS apply 
</t>
    </r>
    <r>
      <rPr>
        <sz val="8"/>
        <rFont val="Arial"/>
        <family val="2"/>
      </rPr>
      <t>(excludes OOO, IIII, JJJJ, Kb)</t>
    </r>
  </si>
  <si>
    <t>The full text of NSPS for calciners and dryers is available at:</t>
  </si>
  <si>
    <t>An air permit is required if</t>
  </si>
  <si>
    <t>We provide free, confidential, environmental assistance to small businesses. For more information:</t>
  </si>
  <si>
    <t>U.S. Environmental Protection Agency (EPA) standards</t>
  </si>
  <si>
    <t>*Definition of "construction, modification, or reconstruction"</t>
  </si>
  <si>
    <r>
      <t>Emission factors for aggregate processing</t>
    </r>
    <r>
      <rPr>
        <b/>
        <vertAlign val="superscript"/>
        <sz val="14"/>
        <color theme="1"/>
        <rFont val="Calibri"/>
        <family val="2"/>
        <scheme val="minor"/>
      </rPr>
      <t>1</t>
    </r>
  </si>
  <si>
    <r>
      <t xml:space="preserve">If your potential emissions </t>
    </r>
    <r>
      <rPr>
        <b/>
        <sz val="10"/>
        <color theme="1"/>
        <rFont val="Arial"/>
        <family val="2"/>
      </rPr>
      <t>do exceed</t>
    </r>
    <r>
      <rPr>
        <sz val="10"/>
        <color theme="1"/>
        <rFont val="Arial"/>
        <family val="2"/>
      </rPr>
      <t xml:space="preserve"> permitting thresholds, see If you qualify for the nonmetallic mineral general air permit. Go to the qualification review checklist below.</t>
    </r>
  </si>
  <si>
    <r>
      <t xml:space="preserve">If your potential emissions </t>
    </r>
    <r>
      <rPr>
        <b/>
        <sz val="10"/>
        <color theme="1"/>
        <rFont val="Arial"/>
        <family val="2"/>
      </rPr>
      <t>do not exceed</t>
    </r>
    <r>
      <rPr>
        <sz val="10"/>
        <color theme="1"/>
        <rFont val="Arial"/>
        <family val="2"/>
      </rPr>
      <t xml:space="preserve"> permitting thresholds, you may qualify for a Registration Permit Option A. Go to the permits &amp; requirements tab.</t>
    </r>
  </si>
  <si>
    <t>Potential emissions - Aggregate: sand &amp; gravel</t>
  </si>
  <si>
    <t>Actual emissions - Aggregate: sand &amp; gravel</t>
  </si>
  <si>
    <t>State rules for aggregate processing</t>
  </si>
  <si>
    <r>
      <rPr>
        <b/>
        <i/>
        <sz val="10"/>
        <color theme="1"/>
        <rFont val="Arial"/>
        <family val="2"/>
      </rPr>
      <t>only</t>
    </r>
    <r>
      <rPr>
        <sz val="10"/>
        <color theme="1"/>
        <rFont val="Arial"/>
        <family val="2"/>
      </rPr>
      <t xml:space="preserve"> NSPS IIII, JJJJ, or Kb apply</t>
    </r>
  </si>
  <si>
    <r>
      <t xml:space="preserve">A permit </t>
    </r>
    <r>
      <rPr>
        <b/>
        <i/>
        <sz val="10"/>
        <color theme="1"/>
        <rFont val="Arial"/>
        <family val="2"/>
      </rPr>
      <t>may be</t>
    </r>
    <r>
      <rPr>
        <sz val="10"/>
        <color theme="1"/>
        <rFont val="Arial"/>
        <family val="2"/>
      </rPr>
      <t xml:space="preserve"> required; Calculate your potential air emissions to see if they exceed permitting thresholds.</t>
    </r>
  </si>
  <si>
    <r>
      <t xml:space="preserve">A permit </t>
    </r>
    <r>
      <rPr>
        <b/>
        <i/>
        <sz val="10"/>
        <color theme="1"/>
        <rFont val="Arial"/>
        <family val="2"/>
      </rPr>
      <t>is</t>
    </r>
    <r>
      <rPr>
        <sz val="10"/>
        <color theme="1"/>
        <rFont val="Arial"/>
        <family val="2"/>
      </rPr>
      <t xml:space="preserve"> required; Calculate your potential air emissions to see if they exceed permitting thresholds.</t>
    </r>
  </si>
  <si>
    <r>
      <t xml:space="preserve">an NSPS </t>
    </r>
    <r>
      <rPr>
        <b/>
        <i/>
        <sz val="10"/>
        <color theme="1"/>
        <rFont val="Arial"/>
        <family val="2"/>
      </rPr>
      <t xml:space="preserve">does not </t>
    </r>
    <r>
      <rPr>
        <sz val="10"/>
        <color theme="1"/>
        <rFont val="Arial"/>
        <family val="2"/>
      </rPr>
      <t>apply</t>
    </r>
  </si>
  <si>
    <r>
      <t xml:space="preserve">NSPS OOO applies
</t>
    </r>
    <r>
      <rPr>
        <sz val="8"/>
        <color theme="1"/>
        <rFont val="Arial"/>
        <family val="2"/>
      </rPr>
      <t>(NSPS IIII, JJJJ, or Kb may also apply)</t>
    </r>
  </si>
  <si>
    <r>
      <t xml:space="preserve">A permit </t>
    </r>
    <r>
      <rPr>
        <b/>
        <i/>
        <sz val="10"/>
        <rFont val="Arial"/>
        <family val="2"/>
      </rPr>
      <t>is</t>
    </r>
    <r>
      <rPr>
        <sz val="10"/>
        <rFont val="Arial"/>
        <family val="2"/>
      </rPr>
      <t xml:space="preserve"> required but, you do not qualify for the general permit. Continue to the next blue tab to calculate your potential emissions.</t>
    </r>
  </si>
  <si>
    <t>Minn. R. 7007.0300</t>
  </si>
  <si>
    <t xml:space="preserve">Your potential emissions from fugitive sources must be used in identifying whether a permit is required. Fugitive sources include unpaved roads, material handling at stockpiles, and wind erosion of ground piles. </t>
  </si>
  <si>
    <t>&lt;-------- The maximum throughput used on the aggregate tab for potential emissions is automatically entered here.</t>
  </si>
  <si>
    <t xml:space="preserve">Are you applying for or have an Option D registration permit? </t>
  </si>
  <si>
    <t>If…</t>
  </si>
  <si>
    <r>
      <t xml:space="preserve">You </t>
    </r>
    <r>
      <rPr>
        <b/>
        <sz val="10"/>
        <color theme="1"/>
        <rFont val="Arial"/>
        <family val="2"/>
      </rPr>
      <t xml:space="preserve">are </t>
    </r>
    <r>
      <rPr>
        <sz val="10"/>
        <color theme="1"/>
        <rFont val="Arial"/>
        <family val="2"/>
      </rPr>
      <t>required…</t>
    </r>
  </si>
  <si>
    <r>
      <t xml:space="preserve">…to calculate actual emissions from fugitive sources (unpaved roads, material handling for stockpiles, and wind erosion of ground piles). 
</t>
    </r>
    <r>
      <rPr>
        <b/>
        <sz val="10"/>
        <color theme="1"/>
        <rFont val="Arial"/>
        <family val="2"/>
      </rPr>
      <t>Enter actual throughput for each activity below.</t>
    </r>
  </si>
  <si>
    <r>
      <t xml:space="preserve">You </t>
    </r>
    <r>
      <rPr>
        <b/>
        <sz val="10"/>
        <color theme="1"/>
        <rFont val="Arial"/>
        <family val="2"/>
      </rPr>
      <t>are not</t>
    </r>
    <r>
      <rPr>
        <sz val="10"/>
        <color theme="1"/>
        <rFont val="Arial"/>
        <family val="2"/>
      </rPr>
      <t xml:space="preserve"> required…</t>
    </r>
  </si>
  <si>
    <t xml:space="preserve">&lt;-------- The actual amount of aggregate processed which, you entered into the aggregate tab, is used here. </t>
  </si>
  <si>
    <r>
      <rPr>
        <u/>
        <vertAlign val="superscript"/>
        <sz val="9"/>
        <color rgb="FF0000FF"/>
        <rFont val="Arial"/>
        <family val="2"/>
      </rPr>
      <t>4</t>
    </r>
    <r>
      <rPr>
        <u/>
        <sz val="9"/>
        <color rgb="FF0000FF"/>
        <rFont val="Arial"/>
        <family val="2"/>
      </rPr>
      <t xml:space="preserve"> Average across MN precipitation data in Comparative Climatic Data (CCD-2015) tables, page 42.</t>
    </r>
  </si>
  <si>
    <t>Engine emission factors</t>
  </si>
  <si>
    <r>
      <t>RECIPROCATING ENGINES (&gt;=600HP) DIESEL (lb/MMBtu)</t>
    </r>
    <r>
      <rPr>
        <b/>
        <vertAlign val="superscript"/>
        <sz val="9"/>
        <rFont val="Arial"/>
        <family val="2"/>
      </rPr>
      <t>1</t>
    </r>
  </si>
  <si>
    <r>
      <t>TURBINE ENGINES (electrical generation) NATURAL GAS (lb/MMBtu)</t>
    </r>
    <r>
      <rPr>
        <b/>
        <vertAlign val="superscript"/>
        <sz val="9"/>
        <rFont val="Arial"/>
        <family val="2"/>
      </rPr>
      <t>1</t>
    </r>
  </si>
  <si>
    <r>
      <t>RECIPROCATING GASOLINE (lb/MMBtu)</t>
    </r>
    <r>
      <rPr>
        <b/>
        <vertAlign val="superscript"/>
        <sz val="9"/>
        <rFont val="Arial"/>
        <family val="2"/>
      </rPr>
      <t>2</t>
    </r>
  </si>
  <si>
    <r>
      <t>CO</t>
    </r>
    <r>
      <rPr>
        <vertAlign val="subscript"/>
        <sz val="9"/>
        <rFont val="Arial"/>
        <family val="2"/>
      </rPr>
      <t>2</t>
    </r>
  </si>
  <si>
    <r>
      <t>CH</t>
    </r>
    <r>
      <rPr>
        <vertAlign val="subscript"/>
        <sz val="9"/>
        <rFont val="Arial"/>
        <family val="2"/>
      </rPr>
      <t>4</t>
    </r>
  </si>
  <si>
    <r>
      <t>N</t>
    </r>
    <r>
      <rPr>
        <vertAlign val="subscript"/>
        <sz val="9"/>
        <rFont val="Arial"/>
        <family val="2"/>
      </rPr>
      <t>2</t>
    </r>
    <r>
      <rPr>
        <sz val="9"/>
        <rFont val="Arial"/>
        <family val="2"/>
      </rPr>
      <t>O</t>
    </r>
  </si>
  <si>
    <t>Choose one to calculate actual emissions</t>
  </si>
  <si>
    <t>Internal combustion engine potential and actual emissions</t>
  </si>
  <si>
    <r>
      <t>GWP</t>
    </r>
    <r>
      <rPr>
        <b/>
        <vertAlign val="superscript"/>
        <sz val="10"/>
        <color theme="1"/>
        <rFont val="Arial"/>
        <family val="2"/>
      </rPr>
      <t>1</t>
    </r>
  </si>
  <si>
    <t>Engine Rated Output</t>
  </si>
  <si>
    <t>Actual Annual Throughput</t>
  </si>
  <si>
    <r>
      <t>Potential Annual Hours</t>
    </r>
    <r>
      <rPr>
        <b/>
        <vertAlign val="superscript"/>
        <sz val="10"/>
        <rFont val="Arial"/>
        <family val="2"/>
      </rPr>
      <t>3</t>
    </r>
  </si>
  <si>
    <r>
      <t>Insignificant Activity</t>
    </r>
    <r>
      <rPr>
        <b/>
        <vertAlign val="superscript"/>
        <sz val="10"/>
        <rFont val="Arial"/>
        <family val="2"/>
      </rPr>
      <t xml:space="preserve">4 </t>
    </r>
    <r>
      <rPr>
        <b/>
        <sz val="10"/>
        <rFont val="Arial"/>
        <family val="2"/>
      </rPr>
      <t>Limits</t>
    </r>
  </si>
  <si>
    <t>(MMBtu/yr)</t>
  </si>
  <si>
    <t>(b * d * e) / 2000</t>
  </si>
  <si>
    <t>see engine emission factors tab</t>
  </si>
  <si>
    <r>
      <t>GHG total (CO</t>
    </r>
    <r>
      <rPr>
        <vertAlign val="subscript"/>
        <sz val="10"/>
        <rFont val="Arial"/>
        <family val="2"/>
      </rPr>
      <t>2</t>
    </r>
    <r>
      <rPr>
        <sz val="10"/>
        <rFont val="Arial"/>
        <family val="2"/>
      </rPr>
      <t>e)</t>
    </r>
    <r>
      <rPr>
        <vertAlign val="superscript"/>
        <sz val="10"/>
        <rFont val="Arial"/>
        <family val="2"/>
      </rPr>
      <t xml:space="preserve"> 2</t>
    </r>
  </si>
  <si>
    <r>
      <t xml:space="preserve">1 </t>
    </r>
    <r>
      <rPr>
        <sz val="9"/>
        <rFont val="Arial"/>
        <family val="2"/>
      </rPr>
      <t>Global Warming Potential from 40 CFR Part 98, Subpart A, Table A-1</t>
    </r>
  </si>
  <si>
    <r>
      <rPr>
        <vertAlign val="superscript"/>
        <sz val="9"/>
        <rFont val="Arial"/>
        <family val="2"/>
      </rPr>
      <t xml:space="preserve">2 </t>
    </r>
    <r>
      <rPr>
        <sz val="9"/>
        <rFont val="Arial"/>
        <family val="2"/>
      </rPr>
      <t>CO</t>
    </r>
    <r>
      <rPr>
        <vertAlign val="subscript"/>
        <sz val="9"/>
        <rFont val="Arial"/>
        <family val="2"/>
      </rPr>
      <t>2</t>
    </r>
    <r>
      <rPr>
        <sz val="9"/>
        <rFont val="Arial"/>
        <family val="2"/>
      </rPr>
      <t>e = carbon dioxide equivalents</t>
    </r>
  </si>
  <si>
    <t>Minn. R. 7007.1300</t>
  </si>
  <si>
    <t>Quantity of fuel actually burned per 12 months</t>
  </si>
  <si>
    <t>Actual emissions entry</t>
  </si>
  <si>
    <t>hours per year (hr/yr)</t>
  </si>
  <si>
    <t>million Btu per year (MMBtu/yr)</t>
  </si>
  <si>
    <t>gallons per year (gal/yr)</t>
  </si>
  <si>
    <t>Occurring between crushers…</t>
  </si>
  <si>
    <r>
      <rPr>
        <b/>
        <sz val="11"/>
        <color rgb="FF008EAA"/>
        <rFont val="Arial"/>
        <family val="2"/>
      </rPr>
      <t>The need for a permit is based on your entire business' potential air emissions.</t>
    </r>
    <r>
      <rPr>
        <b/>
        <sz val="12"/>
        <color rgb="FF008EAA"/>
        <rFont val="Arial"/>
        <family val="2"/>
      </rPr>
      <t xml:space="preserve"> </t>
    </r>
    <r>
      <rPr>
        <sz val="10"/>
        <color theme="1"/>
        <rFont val="Arial"/>
        <family val="2"/>
      </rPr>
      <t>All activities that put pollutants into the air (such as paint and solvent use that are not associated with maintenance) need to be assessed if they are not included in this calculator. Once you identify if you need a permit, based on whether an NSPS applies and potential emissions, you can then use your actual emissions to see which permit is the best fit for your business.</t>
    </r>
  </si>
  <si>
    <r>
      <t>Content below is</t>
    </r>
    <r>
      <rPr>
        <b/>
        <strike/>
        <sz val="10"/>
        <color theme="1"/>
        <rFont val="Arial"/>
        <family val="2"/>
      </rPr>
      <t xml:space="preserve"> </t>
    </r>
    <r>
      <rPr>
        <b/>
        <sz val="10"/>
        <color theme="1"/>
        <rFont val="Arial"/>
        <family val="2"/>
      </rPr>
      <t xml:space="preserve">based on the information entered into this calculator and </t>
    </r>
    <r>
      <rPr>
        <b/>
        <u/>
        <sz val="10"/>
        <color rgb="FF008EAA"/>
        <rFont val="Arial"/>
        <family val="2"/>
      </rPr>
      <t>is not an official MPCA permit determination.</t>
    </r>
  </si>
  <si>
    <r>
      <t xml:space="preserve">What type of permit?
</t>
    </r>
    <r>
      <rPr>
        <sz val="11"/>
        <color rgb="FFFF0000"/>
        <rFont val="Arial"/>
        <family val="2"/>
      </rPr>
      <t>Assumes all air pollutant activities are entered into this calculator.</t>
    </r>
    <r>
      <rPr>
        <sz val="10"/>
        <color theme="1"/>
        <rFont val="Arial"/>
        <family val="2"/>
      </rPr>
      <t xml:space="preserve">
If you have additional air emission sources, the recommendation below cannot be used. You must assess your facility's total potential emissions from all sources to identify your permitting needs.</t>
    </r>
  </si>
  <si>
    <t xml:space="preserve">The summary below is based on information you entered in the blue tabs. </t>
  </si>
  <si>
    <t>Your business's potential emissions</t>
  </si>
  <si>
    <t>Your business's actual emissions</t>
  </si>
  <si>
    <r>
      <t>Federal NSPS applies?</t>
    </r>
    <r>
      <rPr>
        <b/>
        <vertAlign val="superscript"/>
        <sz val="10"/>
        <color theme="1"/>
        <rFont val="Arial"/>
        <family val="2"/>
      </rPr>
      <t>1</t>
    </r>
  </si>
  <si>
    <t xml:space="preserve">More Information </t>
  </si>
  <si>
    <t>Below permit thresholds</t>
  </si>
  <si>
    <t>Other state or federal permit</t>
  </si>
  <si>
    <t>Info about Air Permits</t>
  </si>
  <si>
    <t>Types of insignificant activities</t>
  </si>
  <si>
    <t>subp. 2</t>
  </si>
  <si>
    <t>Not required to be listed.</t>
  </si>
  <si>
    <t>supb. 3</t>
  </si>
  <si>
    <t>Required to be listed but emissions do not need to be included in total facility emission calculations, unless requested by MPCA.</t>
  </si>
  <si>
    <t>subp. 4</t>
  </si>
  <si>
    <t>Required to be listed if applying for a Part 70 (Federal permit or federally enforceable permit limits) but emissions do not need to be included in total facility emission calculations, unless requested by MPCA.</t>
  </si>
  <si>
    <r>
      <t xml:space="preserve">If emissions units listed in 7007.1300 are subject to additional requirements under section 114(a)(3) of the act (Monitoring Requirements) or section 112 of the act (Hazardous Air Pollutants), or if part of a title I modification, or, if accounted for, make a stationary source subject to a part 70 permit, emissions from the emissions units </t>
    </r>
    <r>
      <rPr>
        <b/>
        <sz val="10"/>
        <color theme="1"/>
        <rFont val="Arial"/>
        <family val="2"/>
      </rPr>
      <t>must be calculated in the permit application.</t>
    </r>
  </si>
  <si>
    <t xml:space="preserve">If all emission points are insignificant and total emissions do not exceed permitting thresholds, a permit is not required. Comply with any applicable regulations. </t>
  </si>
  <si>
    <t>1) Installing a non-emergency engine, including insignificant activities, OR</t>
  </si>
  <si>
    <t>2) There are existing non-emergency engines installed after January 1, 2000, OR</t>
  </si>
  <si>
    <t>Use the SCREEN3 program to enter engine and site-specific information to identify the necessary stack height for the engine.</t>
  </si>
  <si>
    <r>
      <rPr>
        <vertAlign val="superscript"/>
        <sz val="10"/>
        <rFont val="Arial"/>
        <family val="2"/>
      </rPr>
      <t xml:space="preserve">1 </t>
    </r>
    <r>
      <rPr>
        <sz val="10"/>
        <rFont val="Arial"/>
        <family val="2"/>
      </rPr>
      <t>Applicability of NSPS IIII or JJJJ does not indicate a need for a permit if your engine did not rely on performance testing to demonstrate NSPS compliance and any compression ignition engines are less than 30 liters per cylinder. 
Applicability of NSPS Kb does not indicate a need for a permit if construction, reconstruction or modification commenced after July 23, 1984, if all storage vessels subject to Kb at the facility each have a capacity of 40 cubic meters to less than 75 cubic meters.</t>
    </r>
  </si>
  <si>
    <r>
      <t xml:space="preserve">Which permit do you need if your business </t>
    </r>
    <r>
      <rPr>
        <b/>
        <u/>
        <sz val="10"/>
        <color theme="1"/>
        <rFont val="Arial"/>
        <family val="2"/>
      </rPr>
      <t>does not qualify for the general permit?</t>
    </r>
  </si>
  <si>
    <t>See if your business qualifies for the general air permit for nonmetallic mineral processors by completing the:</t>
  </si>
  <si>
    <t>one or more federal performance standard applies, excluding those listed in Minn. R. 7007.0300, or</t>
  </si>
  <si>
    <t xml:space="preserve">If the business qualifies for the general permit, your business cannot obtain a registration permit. </t>
  </si>
  <si>
    <t>Multiple federal standards may apply to your business. It is possible that if you make a change at your business, a federal standard that did not previously apply now will, or the one you are already following may have additional requirements. A NESHAP can impose requirements on existing equipment without any changes at the facility.</t>
  </si>
  <si>
    <t>This standard applies to each crusher, grinding mill, screening operation, bucket elevator, belt conveyor, bagging operation, storage bin, enclosed truck or railcar loading station if:</t>
  </si>
  <si>
    <t>If your business qualifies for the general permit and an individual permit, you may apply for either type.</t>
  </si>
  <si>
    <t>Minn. R. 7007.1100, subp. 5</t>
  </si>
  <si>
    <t>(tons/hour)</t>
  </si>
  <si>
    <t xml:space="preserve">If you have more than one unit of the same type, enter the total maximum hourly throughput in the blue box. </t>
  </si>
  <si>
    <t>For example: If you have 2 primary crushers where crusher 1 can process 150 tons per hour and crusher 2 can process 50 tons per hour, enter 200 tons per hour in the maximum throughput blue box.</t>
  </si>
  <si>
    <t>How many transfer points are there for the material?</t>
  </si>
  <si>
    <t>Enter the maximum amount of aggregate that each unit can process per hour, based on manufacturer specifications.</t>
  </si>
  <si>
    <t>For the aggregate activities, use the following parameters.</t>
  </si>
  <si>
    <t>Potential Activity</t>
  </si>
  <si>
    <t>Actual Activity</t>
  </si>
  <si>
    <t>i</t>
  </si>
  <si>
    <t>c*d/2000</t>
  </si>
  <si>
    <t>c*f/2000</t>
  </si>
  <si>
    <t>c*h/2000</t>
  </si>
  <si>
    <t>b*8760</t>
  </si>
  <si>
    <t>Use the Compliance Calendar</t>
  </si>
  <si>
    <t xml:space="preserve"> for Aggregate Facilities</t>
  </si>
  <si>
    <t>Keep records</t>
  </si>
  <si>
    <t>1) Begin with the first blue tab across the bottom to enter information for your business.</t>
  </si>
  <si>
    <t>2) The green tab totals all potential and actual emissions from the information entered on the blue tabs.</t>
  </si>
  <si>
    <t xml:space="preserve">3) The yellow 'Permits &amp; Requirements' tab will help you decide which permit to apply for. </t>
  </si>
  <si>
    <t xml:space="preserve">4) Later, you can use the blue tabs to calculate your actual emissions for the air emission inventory, a report due annually if you have an air permit. </t>
  </si>
  <si>
    <r>
      <t xml:space="preserve">If your business meets the qualifications for the general permit, </t>
    </r>
    <r>
      <rPr>
        <b/>
        <u/>
        <sz val="10"/>
        <rFont val="Arial"/>
        <family val="2"/>
      </rPr>
      <t>you cannot obtain a registration permit</t>
    </r>
    <r>
      <rPr>
        <sz val="10"/>
        <rFont val="Arial"/>
        <family val="2"/>
      </rPr>
      <t xml:space="preserve">. Use the checklist (NM-00), linked below, to see if your business qualifies for the general permit. </t>
    </r>
  </si>
  <si>
    <r>
      <rPr>
        <b/>
        <sz val="10"/>
        <color theme="1"/>
        <rFont val="Arial"/>
        <family val="2"/>
      </rPr>
      <t>Convey and transfer points:</t>
    </r>
    <r>
      <rPr>
        <sz val="10"/>
        <color theme="1"/>
        <rFont val="Arial"/>
        <family val="2"/>
      </rPr>
      <t xml:space="preserve"> One transfer point is counted for every time the material is handled and moved from a piece of equipment or pile. For example, when the aggregate is dumped from an arriving vehicle into a pile, when aggregate is scooped from the pile and dumped into a hopper, when the aggregate is conveyed from one piece of equipment to another, etc. </t>
    </r>
  </si>
  <si>
    <r>
      <t>PM</t>
    </r>
    <r>
      <rPr>
        <b/>
        <vertAlign val="subscript"/>
        <sz val="10"/>
        <color theme="1"/>
        <rFont val="Arial"/>
        <family val="2"/>
      </rPr>
      <t>10</t>
    </r>
    <r>
      <rPr>
        <b/>
        <sz val="10"/>
        <color theme="1"/>
        <rFont val="Arial"/>
        <family val="2"/>
      </rPr>
      <t xml:space="preserve"> Emission Control</t>
    </r>
    <r>
      <rPr>
        <sz val="10"/>
        <color theme="1"/>
        <rFont val="Arial"/>
        <family val="2"/>
      </rPr>
      <t xml:space="preserve"> (calculated)</t>
    </r>
  </si>
  <si>
    <t xml:space="preserve">More information found on the MPCA's Aggregate - sand and gravel webpage: </t>
  </si>
  <si>
    <t>Online at the MPCA's website:</t>
  </si>
  <si>
    <t>https://www.pca.state.mn.us/regulations/aggregate-sand-and-gravel</t>
  </si>
  <si>
    <t xml:space="preserve">Potential emissions - Aggregate: sand and gravel </t>
  </si>
  <si>
    <t>Actual emissions - Aggregate: sand and gravel</t>
  </si>
  <si>
    <t>Permits &amp; requirements</t>
  </si>
  <si>
    <t>(c * e) / 2000</t>
  </si>
  <si>
    <t>This calculator was created by the Minnesota Pollution Control Agency's (MPCA) Small Business Environmental Assistance Program (SBEAP).</t>
  </si>
  <si>
    <t>1 to 4 inches</t>
  </si>
  <si>
    <r>
      <t>Wind erosion emission factor reference</t>
    </r>
    <r>
      <rPr>
        <vertAlign val="superscript"/>
        <sz val="10"/>
        <color theme="1"/>
        <rFont val="Arial"/>
        <family val="2"/>
      </rPr>
      <t>8, 9</t>
    </r>
  </si>
  <si>
    <r>
      <t>PM</t>
    </r>
    <r>
      <rPr>
        <vertAlign val="subscript"/>
        <sz val="10"/>
        <rFont val="Arial"/>
        <family val="2"/>
      </rPr>
      <t>10</t>
    </r>
    <r>
      <rPr>
        <sz val="10"/>
        <rFont val="Arial"/>
        <family val="2"/>
      </rPr>
      <t xml:space="preserve"> emission factor  = PM * 50%</t>
    </r>
  </si>
  <si>
    <t>d = # days pile is active per year</t>
  </si>
  <si>
    <r>
      <rPr>
        <vertAlign val="superscript"/>
        <sz val="9"/>
        <color theme="1"/>
        <rFont val="Arial"/>
        <family val="2"/>
      </rPr>
      <t>7</t>
    </r>
    <r>
      <rPr>
        <sz val="9"/>
        <color theme="1"/>
        <rFont val="Arial"/>
        <family val="2"/>
      </rPr>
      <t xml:space="preserve"> Wind erosion from continuously active piles</t>
    </r>
  </si>
  <si>
    <t>EPA Control of open fugitive dust sources, Sept. 1988, Equation 4-9</t>
  </si>
  <si>
    <r>
      <rPr>
        <vertAlign val="superscript"/>
        <sz val="9"/>
        <color theme="1"/>
        <rFont val="Arial"/>
        <family val="2"/>
      </rPr>
      <t xml:space="preserve">9 </t>
    </r>
    <r>
      <rPr>
        <sz val="9"/>
        <color theme="1"/>
        <rFont val="Arial"/>
        <family val="2"/>
      </rPr>
      <t>PM</t>
    </r>
    <r>
      <rPr>
        <vertAlign val="subscript"/>
        <sz val="9"/>
        <color theme="1"/>
        <rFont val="Arial"/>
        <family val="2"/>
      </rPr>
      <t>10</t>
    </r>
    <r>
      <rPr>
        <sz val="9"/>
        <color theme="1"/>
        <rFont val="Arial"/>
        <family val="2"/>
      </rPr>
      <t xml:space="preserve"> and PM</t>
    </r>
    <r>
      <rPr>
        <vertAlign val="subscript"/>
        <sz val="9"/>
        <color theme="1"/>
        <rFont val="Arial"/>
        <family val="2"/>
      </rPr>
      <t>2.5</t>
    </r>
    <r>
      <rPr>
        <sz val="9"/>
        <color theme="1"/>
        <rFont val="Arial"/>
        <family val="2"/>
      </rPr>
      <t xml:space="preserve"> fractions, updated Nov 2006</t>
    </r>
  </si>
  <si>
    <t>AP-42 13.2.5 Aerodynamic particle size multipliers for Equation 2</t>
  </si>
  <si>
    <r>
      <rPr>
        <b/>
        <sz val="12"/>
        <color theme="1"/>
        <rFont val="Arial"/>
        <family val="2"/>
      </rPr>
      <t>Table A.</t>
    </r>
    <r>
      <rPr>
        <b/>
        <sz val="11"/>
        <color theme="1"/>
        <rFont val="Arial"/>
        <family val="2"/>
      </rPr>
      <t xml:space="preserve"> Typical silt content values of surface material on industrial unpaved roads</t>
    </r>
  </si>
  <si>
    <t>AP-42 Table 13.2.2-1</t>
  </si>
  <si>
    <t>Industry</t>
  </si>
  <si>
    <t>Road use</t>
  </si>
  <si>
    <t>Mean Silt Content (%)</t>
  </si>
  <si>
    <t>Copper smelting</t>
  </si>
  <si>
    <t>Plant road</t>
  </si>
  <si>
    <t>Iron and steel production</t>
  </si>
  <si>
    <t>Sand and gravel processing</t>
  </si>
  <si>
    <t>Material storage area</t>
  </si>
  <si>
    <t>Stone quarrying and processing</t>
  </si>
  <si>
    <t>Haul road to/from pit</t>
  </si>
  <si>
    <t>Taconite mining and processing</t>
  </si>
  <si>
    <t>Western surface coal mining</t>
  </si>
  <si>
    <t>Scraper route</t>
  </si>
  <si>
    <t>Haul road (freshly graded)</t>
  </si>
  <si>
    <t>Construction sites</t>
  </si>
  <si>
    <t>Scraper routes</t>
  </si>
  <si>
    <t>Lumber sawmills</t>
  </si>
  <si>
    <t>Log yards</t>
  </si>
  <si>
    <t>Municipal solid waste landfills</t>
  </si>
  <si>
    <t>Disposal routes</t>
  </si>
  <si>
    <t>Enter from Table</t>
  </si>
  <si>
    <r>
      <t>Enter site data</t>
    </r>
    <r>
      <rPr>
        <vertAlign val="superscript"/>
        <sz val="10"/>
        <color theme="1"/>
        <rFont val="Arial"/>
        <family val="2"/>
      </rPr>
      <t>9,10</t>
    </r>
  </si>
  <si>
    <t>See Table A</t>
  </si>
  <si>
    <t>See Table B</t>
  </si>
  <si>
    <t>See Table C or enter 43.1</t>
  </si>
  <si>
    <t>4</t>
  </si>
  <si>
    <t>See Table C</t>
  </si>
  <si>
    <r>
      <rPr>
        <b/>
        <sz val="12"/>
        <color theme="1"/>
        <rFont val="Arial"/>
        <family val="2"/>
      </rPr>
      <t>Table B</t>
    </r>
    <r>
      <rPr>
        <b/>
        <sz val="11"/>
        <color theme="1"/>
        <rFont val="Arial"/>
        <family val="2"/>
      </rPr>
      <t xml:space="preserve">. Typical silt and moisture contents of materials at various industries </t>
    </r>
  </si>
  <si>
    <r>
      <rPr>
        <b/>
        <sz val="12"/>
        <color theme="1"/>
        <rFont val="Arial"/>
        <family val="2"/>
      </rPr>
      <t>Table C</t>
    </r>
    <r>
      <rPr>
        <b/>
        <sz val="11"/>
        <color theme="1"/>
        <rFont val="Arial"/>
        <family val="2"/>
      </rPr>
      <t>. Wind erosion of ground pile</t>
    </r>
  </si>
  <si>
    <t>AP-42 Table 13.2.4-1</t>
  </si>
  <si>
    <t>Values are over a 5-year period</t>
  </si>
  <si>
    <t>Percent of Hours Greater Than 12 mph</t>
  </si>
  <si>
    <t>Mean wind speed (mph) (2018-2022)</t>
  </si>
  <si>
    <t>Material</t>
  </si>
  <si>
    <t>Silt Content (%)</t>
  </si>
  <si>
    <t>Moisture Content (%)</t>
  </si>
  <si>
    <t>Station</t>
  </si>
  <si>
    <t>City</t>
  </si>
  <si>
    <t>County</t>
  </si>
  <si>
    <t>State</t>
  </si>
  <si>
    <t xml:space="preserve">Iron and steel production </t>
  </si>
  <si>
    <t xml:space="preserve">Pellet ore </t>
  </si>
  <si>
    <t>KRST</t>
  </si>
  <si>
    <t>Rochester</t>
  </si>
  <si>
    <t>Olmsted</t>
  </si>
  <si>
    <t>MN</t>
  </si>
  <si>
    <t xml:space="preserve">Lump ore </t>
  </si>
  <si>
    <t>KMML</t>
  </si>
  <si>
    <t>Marshall</t>
  </si>
  <si>
    <t>Lyon</t>
  </si>
  <si>
    <t xml:space="preserve">Coal </t>
  </si>
  <si>
    <t>KAXN</t>
  </si>
  <si>
    <t>Alexandria</t>
  </si>
  <si>
    <t>Douglas</t>
  </si>
  <si>
    <t xml:space="preserve">Slag </t>
  </si>
  <si>
    <t>KDLH</t>
  </si>
  <si>
    <t>Duluth Intl</t>
  </si>
  <si>
    <t>Saint Louis</t>
  </si>
  <si>
    <t xml:space="preserve">Flue dust </t>
  </si>
  <si>
    <t>KMKT</t>
  </si>
  <si>
    <t>Mankato</t>
  </si>
  <si>
    <t>Blue Earth</t>
  </si>
  <si>
    <t xml:space="preserve">Coke breeze </t>
  </si>
  <si>
    <t>KHCO</t>
  </si>
  <si>
    <t>Hallock</t>
  </si>
  <si>
    <t>Kittson</t>
  </si>
  <si>
    <t>--</t>
  </si>
  <si>
    <t xml:space="preserve">Blended ore </t>
  </si>
  <si>
    <t>KRWF</t>
  </si>
  <si>
    <t>Redwood Falls</t>
  </si>
  <si>
    <t>Redwood</t>
  </si>
  <si>
    <t xml:space="preserve">Sinter </t>
  </si>
  <si>
    <t>KMSP</t>
  </si>
  <si>
    <t>Minneapolis</t>
  </si>
  <si>
    <t>Hennepin</t>
  </si>
  <si>
    <t xml:space="preserve">Limestone </t>
  </si>
  <si>
    <t>KPKD</t>
  </si>
  <si>
    <t>Park Rapids</t>
  </si>
  <si>
    <t>Hubbard</t>
  </si>
  <si>
    <t>Crushed limestone</t>
  </si>
  <si>
    <t>KSTP</t>
  </si>
  <si>
    <t>St Paul</t>
  </si>
  <si>
    <t>Ramsey</t>
  </si>
  <si>
    <t>Various limestone products</t>
  </si>
  <si>
    <t>KBDE</t>
  </si>
  <si>
    <t>Baudette</t>
  </si>
  <si>
    <t>Lake of the Woods</t>
  </si>
  <si>
    <t xml:space="preserve">Pellets </t>
  </si>
  <si>
    <t>KFCM</t>
  </si>
  <si>
    <t>Eden Prarie</t>
  </si>
  <si>
    <t xml:space="preserve">Tailings </t>
  </si>
  <si>
    <t>KSTC</t>
  </si>
  <si>
    <t>St Cloud</t>
  </si>
  <si>
    <t>Sherburne</t>
  </si>
  <si>
    <t>KMIC</t>
  </si>
  <si>
    <t>Crystal</t>
  </si>
  <si>
    <t xml:space="preserve">Overburden </t>
  </si>
  <si>
    <t>KBRD</t>
  </si>
  <si>
    <t>Brainerd</t>
  </si>
  <si>
    <t>Crow Wing</t>
  </si>
  <si>
    <t xml:space="preserve">Exposed ground </t>
  </si>
  <si>
    <t>KHIB</t>
  </si>
  <si>
    <t>Hibbing</t>
  </si>
  <si>
    <t>Coal-fired power plant</t>
  </si>
  <si>
    <t xml:space="preserve">Coal ( as received) </t>
  </si>
  <si>
    <t>KINL</t>
  </si>
  <si>
    <t>International Falls</t>
  </si>
  <si>
    <t>Koochiching</t>
  </si>
  <si>
    <t xml:space="preserve">Sand </t>
  </si>
  <si>
    <t>KEST</t>
  </si>
  <si>
    <t>Estherville</t>
  </si>
  <si>
    <t>Emmet</t>
  </si>
  <si>
    <t>IA</t>
  </si>
  <si>
    <t>KMCW</t>
  </si>
  <si>
    <t>Mason City</t>
  </si>
  <si>
    <t>Cerro Gordo</t>
  </si>
  <si>
    <t xml:space="preserve">Cover </t>
  </si>
  <si>
    <t>KFAR</t>
  </si>
  <si>
    <t>Fargo</t>
  </si>
  <si>
    <t>Cass</t>
  </si>
  <si>
    <t>Clay/dirt mix</t>
  </si>
  <si>
    <t>KGFK</t>
  </si>
  <si>
    <t>Grand Forks</t>
  </si>
  <si>
    <t>Clay</t>
  </si>
  <si>
    <t>KFSD</t>
  </si>
  <si>
    <t>Sioux Falls</t>
  </si>
  <si>
    <t>Minnehaha</t>
  </si>
  <si>
    <t>SD</t>
  </si>
  <si>
    <t xml:space="preserve">Fly ash </t>
  </si>
  <si>
    <t>KLSE</t>
  </si>
  <si>
    <t>La Crosse</t>
  </si>
  <si>
    <t>WI</t>
  </si>
  <si>
    <t>Misc. fill materials</t>
  </si>
  <si>
    <t>Fugitive emission totals</t>
  </si>
  <si>
    <t>Total potential emissions</t>
  </si>
  <si>
    <t>Total actual emissions</t>
  </si>
  <si>
    <r>
      <rPr>
        <vertAlign val="superscript"/>
        <sz val="9"/>
        <color theme="1"/>
        <rFont val="Arial"/>
        <family val="2"/>
      </rPr>
      <t>10</t>
    </r>
    <r>
      <rPr>
        <sz val="9"/>
        <color theme="1"/>
        <rFont val="Arial"/>
        <family val="2"/>
      </rPr>
      <t xml:space="preserve"> Default moisture content value of 0.5 percent in Equation 1b is discouraged and reduces emission factor quality by 2 letters.</t>
    </r>
  </si>
  <si>
    <t>Application Forms, scroll to Registration section</t>
  </si>
  <si>
    <t>Blue Text</t>
  </si>
  <si>
    <r>
      <rPr>
        <b/>
        <sz val="11"/>
        <color rgb="FF008EAA"/>
        <rFont val="Arial"/>
        <family val="2"/>
      </rPr>
      <t xml:space="preserve">If no, continue </t>
    </r>
    <r>
      <rPr>
        <sz val="10"/>
        <color theme="1"/>
        <rFont val="Arial"/>
        <family val="2"/>
      </rPr>
      <t xml:space="preserve">to the next blue tab and calculate your potential air emissions to see which type of permit is required. </t>
    </r>
  </si>
  <si>
    <r>
      <rPr>
        <b/>
        <sz val="11"/>
        <color rgb="FF008EAA"/>
        <rFont val="Arial"/>
        <family val="2"/>
      </rPr>
      <t>If yes, stop here:</t>
    </r>
    <r>
      <rPr>
        <sz val="10"/>
        <color theme="1"/>
        <rFont val="Arial"/>
        <family val="2"/>
      </rPr>
      <t xml:space="preserve"> You have indicated that your business qualifies for the general air permit. You do not need to calculate your potential emissions. Begin the air application process with the submittal cover page (SCP-01) and complete all applicable forms for the nonmetallic mineral general permit. See the application forms on the air permit and forms page – scroll down the webpage to #4.</t>
    </r>
  </si>
  <si>
    <r>
      <t>RECIPROCATING ENGINES (&lt;600HP) DIESEL (lb/MMBtu)</t>
    </r>
    <r>
      <rPr>
        <b/>
        <vertAlign val="superscript"/>
        <sz val="9"/>
        <rFont val="Arial"/>
        <family val="2"/>
      </rPr>
      <t>1</t>
    </r>
  </si>
  <si>
    <r>
      <t>RECIPROCATING Propane</t>
    </r>
    <r>
      <rPr>
        <b/>
        <vertAlign val="superscript"/>
        <sz val="9"/>
        <rFont val="Arial"/>
        <family val="2"/>
      </rPr>
      <t>3,4,5</t>
    </r>
    <r>
      <rPr>
        <b/>
        <sz val="9"/>
        <rFont val="Arial"/>
        <family val="2"/>
      </rPr>
      <t xml:space="preserve">
(lb/MMBtu)</t>
    </r>
  </si>
  <si>
    <r>
      <t>EPA/AIRS by SCC</t>
    </r>
    <r>
      <rPr>
        <vertAlign val="superscript"/>
        <sz val="9"/>
        <color theme="1"/>
        <rFont val="Arial"/>
        <family val="2"/>
      </rPr>
      <t>3,4</t>
    </r>
  </si>
  <si>
    <r>
      <t>Calculated</t>
    </r>
    <r>
      <rPr>
        <vertAlign val="superscript"/>
        <sz val="9"/>
        <rFont val="Arial"/>
        <family val="2"/>
      </rPr>
      <t>5</t>
    </r>
  </si>
  <si>
    <t xml:space="preserve">Propane criteria emission factors ARB "Instructions for the Emission Data System Review &amp; Update Report 8/91" referencing EPA/AIRS emission factors by source classification code. </t>
  </si>
  <si>
    <r>
      <t>SOx emission factor from AP-42 Section 1.5 Table 1.5-1 for propane. The SO2 emission factor is based on fuel sulfur content as 0.10S lb/1000 gal, where S is sulfur content of fuel in gr/100ft</t>
    </r>
    <r>
      <rPr>
        <vertAlign val="superscript"/>
        <sz val="9"/>
        <rFont val="Arial"/>
        <family val="2"/>
      </rPr>
      <t>3</t>
    </r>
    <r>
      <rPr>
        <sz val="9"/>
        <rFont val="Arial"/>
        <family val="2"/>
      </rPr>
      <t>. National average sulfur content</t>
    </r>
  </si>
  <si>
    <r>
      <t>of propane 0.54 gr/100ft</t>
    </r>
    <r>
      <rPr>
        <vertAlign val="superscript"/>
        <sz val="9"/>
        <rFont val="Arial"/>
        <family val="2"/>
      </rPr>
      <t>3</t>
    </r>
  </si>
  <si>
    <t>https://www3.epa.gov/ttnchie1/conference/ei12/area/haneke.pdf</t>
  </si>
  <si>
    <r>
      <t>Propane toxic emission factors were calculated from the natural gas toxic emission factors using the following formula: TEF</t>
    </r>
    <r>
      <rPr>
        <vertAlign val="subscript"/>
        <sz val="9"/>
        <color theme="1"/>
        <rFont val="Arial"/>
        <family val="2"/>
      </rPr>
      <t>P</t>
    </r>
    <r>
      <rPr>
        <sz val="9"/>
        <color theme="1"/>
        <rFont val="Arial"/>
        <family val="2"/>
      </rPr>
      <t xml:space="preserve"> = TEF</t>
    </r>
    <r>
      <rPr>
        <vertAlign val="subscript"/>
        <sz val="9"/>
        <color theme="1"/>
        <rFont val="Arial"/>
        <family val="2"/>
      </rPr>
      <t>NG</t>
    </r>
    <r>
      <rPr>
        <sz val="9"/>
        <color theme="1"/>
        <rFont val="Arial"/>
        <family val="2"/>
      </rPr>
      <t xml:space="preserve"> * HV</t>
    </r>
    <r>
      <rPr>
        <vertAlign val="subscript"/>
        <sz val="9"/>
        <color theme="1"/>
        <rFont val="Arial"/>
        <family val="2"/>
      </rPr>
      <t>P</t>
    </r>
    <r>
      <rPr>
        <sz val="9"/>
        <color theme="1"/>
        <rFont val="Arial"/>
        <family val="2"/>
      </rPr>
      <t>/HV</t>
    </r>
    <r>
      <rPr>
        <vertAlign val="subscript"/>
        <sz val="9"/>
        <color theme="1"/>
        <rFont val="Arial"/>
        <family val="2"/>
      </rPr>
      <t>NG</t>
    </r>
  </si>
  <si>
    <r>
      <t>TEF</t>
    </r>
    <r>
      <rPr>
        <vertAlign val="subscript"/>
        <sz val="9"/>
        <color theme="1"/>
        <rFont val="Arial"/>
        <family val="2"/>
      </rPr>
      <t>P</t>
    </r>
    <r>
      <rPr>
        <sz val="9"/>
        <color theme="1"/>
        <rFont val="Arial"/>
        <family val="2"/>
      </rPr>
      <t xml:space="preserve"> = Propane toxic emission factor; TEF</t>
    </r>
    <r>
      <rPr>
        <vertAlign val="subscript"/>
        <sz val="9"/>
        <color theme="1"/>
        <rFont val="Arial"/>
        <family val="2"/>
      </rPr>
      <t>NG</t>
    </r>
    <r>
      <rPr>
        <sz val="9"/>
        <color theme="1"/>
        <rFont val="Arial"/>
        <family val="2"/>
      </rPr>
      <t xml:space="preserve"> = Average of natural gas toxic emission factors; HV</t>
    </r>
    <r>
      <rPr>
        <vertAlign val="subscript"/>
        <sz val="9"/>
        <color theme="1"/>
        <rFont val="Arial"/>
        <family val="2"/>
      </rPr>
      <t>P</t>
    </r>
    <r>
      <rPr>
        <sz val="9"/>
        <color theme="1"/>
        <rFont val="Arial"/>
        <family val="2"/>
      </rPr>
      <t xml:space="preserve"> = Heating value for propane; HV</t>
    </r>
    <r>
      <rPr>
        <vertAlign val="subscript"/>
        <sz val="9"/>
        <color theme="1"/>
        <rFont val="Arial"/>
        <family val="2"/>
      </rPr>
      <t>NG</t>
    </r>
    <r>
      <rPr>
        <sz val="9"/>
        <color theme="1"/>
        <rFont val="Arial"/>
        <family val="2"/>
      </rPr>
      <t xml:space="preserve"> = Heating value for natural gas</t>
    </r>
  </si>
  <si>
    <r>
      <rPr>
        <b/>
        <sz val="9"/>
        <rFont val="Arial"/>
        <family val="2"/>
      </rPr>
      <t>CO</t>
    </r>
    <r>
      <rPr>
        <b/>
        <vertAlign val="subscript"/>
        <sz val="9"/>
        <rFont val="Arial"/>
        <family val="2"/>
      </rPr>
      <t xml:space="preserve">2 </t>
    </r>
    <r>
      <rPr>
        <b/>
        <sz val="9"/>
        <rFont val="Arial"/>
        <family val="2"/>
      </rPr>
      <t>Emission Factor</t>
    </r>
    <r>
      <rPr>
        <b/>
        <vertAlign val="superscript"/>
        <sz val="9"/>
        <rFont val="Arial"/>
        <family val="2"/>
      </rPr>
      <t>1</t>
    </r>
    <r>
      <rPr>
        <b/>
        <sz val="9"/>
        <rFont val="Arial"/>
        <family val="2"/>
      </rPr>
      <t xml:space="preserve">
</t>
    </r>
    <r>
      <rPr>
        <sz val="9"/>
        <rFont val="Arial"/>
        <family val="2"/>
      </rPr>
      <t>(lbs/million BTU)</t>
    </r>
  </si>
  <si>
    <r>
      <rPr>
        <b/>
        <sz val="9"/>
        <rFont val="Arial"/>
        <family val="2"/>
      </rPr>
      <t>CH</t>
    </r>
    <r>
      <rPr>
        <b/>
        <vertAlign val="subscript"/>
        <sz val="9"/>
        <rFont val="Arial"/>
        <family val="2"/>
      </rPr>
      <t>4</t>
    </r>
    <r>
      <rPr>
        <b/>
        <sz val="9"/>
        <rFont val="Arial"/>
        <family val="2"/>
      </rPr>
      <t xml:space="preserve"> Emission Factor</t>
    </r>
    <r>
      <rPr>
        <b/>
        <vertAlign val="superscript"/>
        <sz val="9"/>
        <rFont val="Arial"/>
        <family val="2"/>
      </rPr>
      <t>1</t>
    </r>
    <r>
      <rPr>
        <sz val="9"/>
        <rFont val="Arial"/>
        <family val="2"/>
      </rPr>
      <t xml:space="preserve">
(lbs/million BTU)</t>
    </r>
  </si>
  <si>
    <r>
      <rPr>
        <b/>
        <sz val="9"/>
        <rFont val="Arial"/>
        <family val="2"/>
      </rPr>
      <t>N</t>
    </r>
    <r>
      <rPr>
        <b/>
        <vertAlign val="subscript"/>
        <sz val="9"/>
        <rFont val="Arial"/>
        <family val="2"/>
      </rPr>
      <t>2</t>
    </r>
    <r>
      <rPr>
        <b/>
        <sz val="9"/>
        <rFont val="Arial"/>
        <family val="2"/>
      </rPr>
      <t>O Emission Factor</t>
    </r>
    <r>
      <rPr>
        <b/>
        <vertAlign val="superscript"/>
        <sz val="9"/>
        <rFont val="Arial"/>
        <family val="2"/>
      </rPr>
      <t>1</t>
    </r>
    <r>
      <rPr>
        <sz val="9"/>
        <rFont val="Arial"/>
        <family val="2"/>
      </rPr>
      <t xml:space="preserve">
(lbs/million BTU)</t>
    </r>
  </si>
  <si>
    <r>
      <t>Brake-specific fuel consumption</t>
    </r>
    <r>
      <rPr>
        <sz val="9"/>
        <color theme="1"/>
        <rFont val="Arial"/>
        <family val="2"/>
      </rPr>
      <t xml:space="preserve"> 
(btu/hp*hr)</t>
    </r>
    <r>
      <rPr>
        <vertAlign val="superscript"/>
        <sz val="9"/>
        <color indexed="8"/>
        <rFont val="Arial"/>
        <family val="2"/>
      </rPr>
      <t>2</t>
    </r>
  </si>
  <si>
    <r>
      <t>Heat value</t>
    </r>
    <r>
      <rPr>
        <b/>
        <vertAlign val="superscript"/>
        <sz val="9"/>
        <color theme="1"/>
        <rFont val="Arial"/>
        <family val="2"/>
      </rPr>
      <t>3</t>
    </r>
    <r>
      <rPr>
        <b/>
        <sz val="9"/>
        <color theme="1"/>
        <rFont val="Arial"/>
        <family val="2"/>
      </rPr>
      <t xml:space="preserve">
</t>
    </r>
    <r>
      <rPr>
        <sz val="9"/>
        <color theme="1"/>
        <rFont val="Arial"/>
        <family val="2"/>
      </rPr>
      <t>(Btu/scf)</t>
    </r>
  </si>
  <si>
    <r>
      <rPr>
        <b/>
        <sz val="9"/>
        <rFont val="Arial"/>
        <family val="2"/>
      </rPr>
      <t>Heat Value</t>
    </r>
    <r>
      <rPr>
        <b/>
        <vertAlign val="superscript"/>
        <sz val="9"/>
        <rFont val="Arial"/>
        <family val="2"/>
      </rPr>
      <t>3</t>
    </r>
    <r>
      <rPr>
        <b/>
        <sz val="9"/>
        <rFont val="Arial"/>
        <family val="2"/>
      </rPr>
      <t xml:space="preserve">
(</t>
    </r>
    <r>
      <rPr>
        <sz val="9"/>
        <rFont val="Arial"/>
        <family val="2"/>
      </rPr>
      <t>Btu/gal)</t>
    </r>
  </si>
  <si>
    <t>PROPANE</t>
  </si>
  <si>
    <t>Air emissions from internal combustion engines</t>
  </si>
  <si>
    <t xml:space="preserve">For each engine, complete one engine tab and include all information in the blue boxes. </t>
  </si>
  <si>
    <t>Calculate the potential and actual air emissions from this engine</t>
  </si>
  <si>
    <t>(MMBtu/hr)</t>
  </si>
  <si>
    <r>
      <rPr>
        <vertAlign val="superscript"/>
        <sz val="9"/>
        <rFont val="Arial"/>
        <family val="2"/>
      </rPr>
      <t xml:space="preserve">3 </t>
    </r>
    <r>
      <rPr>
        <sz val="9"/>
        <rFont val="Arial"/>
        <family val="2"/>
      </rPr>
      <t>Routine = 24 hr/day * 365 day/yr or 8760 hr/yr; Emergency = 500 hr/yr for purposes of calculating potential air emission to identify whether or not a permit is required.</t>
    </r>
  </si>
  <si>
    <r>
      <rPr>
        <vertAlign val="superscript"/>
        <sz val="9"/>
        <rFont val="Arial"/>
        <family val="2"/>
      </rPr>
      <t xml:space="preserve">4 </t>
    </r>
    <r>
      <rPr>
        <sz val="9"/>
        <rFont val="Arial"/>
        <family val="2"/>
      </rPr>
      <t>See information on insignificant activities at Minn. R. 7007.1300 and on the 'Permits &amp; Requirements' tab.</t>
    </r>
  </si>
  <si>
    <t>Data Validation</t>
  </si>
  <si>
    <t>Engine and Fuel Type</t>
  </si>
  <si>
    <t>Reciprocating - propane</t>
  </si>
  <si>
    <t>Engine Use</t>
  </si>
  <si>
    <t>horsepower(HP) or brake power (HP-hr)</t>
  </si>
  <si>
    <t>standard cubic feet/hr (scf/hr)</t>
  </si>
  <si>
    <t>gallons/hr (gal/hr)</t>
  </si>
  <si>
    <t>Updates:</t>
  </si>
  <si>
    <t xml:space="preserve">11/01/2019: formula for actual emissions </t>
  </si>
  <si>
    <t>Actual</t>
  </si>
  <si>
    <t>https://regnav.app.cloud.gov/ice/ice%20-%20Storyline%20output/story_html5.html</t>
  </si>
  <si>
    <t>https://regnav.app.cloud.gov/rice/rice%20-%20Storyline%20output/story_html5.html</t>
  </si>
  <si>
    <t>https://www.pca.state.mn.us/sites/default/files/aq-f3-rp07.docx</t>
  </si>
  <si>
    <t>https://www.pca.state.mn.us/sites/default/files/p-sbap5-45.pdf</t>
  </si>
  <si>
    <t xml:space="preserve">More information on fugitive dust emissions management and best practices can be found here: </t>
  </si>
  <si>
    <t>p-sbap5-30 • 7/31/25</t>
  </si>
  <si>
    <t>Aggregate: Sand and gravel
Air emissions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</si>
</sst>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0.0"/>
    <numFmt numFmtId="165" formatCode="0.0000"/>
    <numFmt numFmtId="166" formatCode="0.0000000"/>
    <numFmt numFmtId="167" formatCode="0.0"/>
    <numFmt numFmtId="168" formatCode="0.0000%"/>
    <numFmt numFmtId="169" formatCode="00000"/>
    <numFmt numFmtId="170" formatCode="0.00000"/>
    <numFmt numFmtId="171" formatCode="0.000"/>
    <numFmt numFmtId="172" formatCode="0.000000"/>
    <numFmt numFmtId="173" formatCode="0.00000000"/>
  </numFmts>
  <fonts count="92" x14ac:knownFonts="1">
    <font>
      <sz val="11"/>
      <color theme="1"/>
      <name val="Calibri"/>
      <family val="2"/>
      <scheme val="minor"/>
    </font>
    <font>
      <sz val="18"/>
      <color theme="1"/>
      <name val="Calibri"/>
      <family val="2"/>
      <scheme val="minor"/>
    </font>
    <font>
      <sz val="11"/>
      <color theme="1"/>
      <name val="Calibri"/>
      <family val="2"/>
      <scheme val="minor"/>
    </font>
    <font>
      <b/>
      <sz val="22"/>
      <color theme="1"/>
      <name val="Calibri"/>
      <family val="2"/>
      <scheme val="minor"/>
    </font>
    <font>
      <b/>
      <sz val="16"/>
      <color rgb="FF7F7F7F"/>
      <name val="Calibri"/>
      <family val="2"/>
      <scheme val="minor"/>
    </font>
    <font>
      <b/>
      <sz val="16"/>
      <color theme="1"/>
      <name val="Calibri"/>
      <family val="2"/>
      <scheme val="minor"/>
    </font>
    <font>
      <b/>
      <sz val="14"/>
      <color theme="1"/>
      <name val="Calibri"/>
      <family val="2"/>
      <scheme val="minor"/>
    </font>
    <font>
      <b/>
      <sz val="12"/>
      <color theme="1"/>
      <name val="Calibri"/>
      <family val="2"/>
      <scheme val="minor"/>
    </font>
    <font>
      <u/>
      <sz val="11"/>
      <color theme="10"/>
      <name val="Calibri"/>
      <family val="2"/>
      <scheme val="minor"/>
    </font>
    <font>
      <sz val="10"/>
      <color theme="1"/>
      <name val="Calibri"/>
      <family val="2"/>
      <scheme val="minor"/>
    </font>
    <font>
      <b/>
      <sz val="11"/>
      <color rgb="FF008EAA"/>
      <name val="Calibri"/>
      <family val="2"/>
      <scheme val="minor"/>
    </font>
    <font>
      <sz val="10"/>
      <name val="Calibri"/>
      <family val="2"/>
      <scheme val="minor"/>
    </font>
    <font>
      <sz val="9"/>
      <color theme="1"/>
      <name val="Calibri"/>
      <family val="2"/>
      <scheme val="minor"/>
    </font>
    <font>
      <u/>
      <sz val="9"/>
      <color theme="10"/>
      <name val="Calibri"/>
      <family val="2"/>
      <scheme val="minor"/>
    </font>
    <font>
      <sz val="10"/>
      <name val="Arial"/>
      <family val="2"/>
    </font>
    <font>
      <sz val="11"/>
      <name val="Calibri"/>
      <family val="2"/>
      <scheme val="minor"/>
    </font>
    <font>
      <u/>
      <sz val="9"/>
      <color theme="4" tint="-0.24994659260841701"/>
      <name val="Calibri"/>
      <family val="2"/>
      <scheme val="minor"/>
    </font>
    <font>
      <sz val="11"/>
      <color rgb="FF006100"/>
      <name val="Calibri"/>
      <family val="2"/>
      <scheme val="minor"/>
    </font>
    <font>
      <i/>
      <sz val="11"/>
      <color rgb="FF7F7F7F"/>
      <name val="Calibri"/>
      <family val="2"/>
      <scheme val="minor"/>
    </font>
    <font>
      <sz val="10"/>
      <color indexed="8"/>
      <name val="Arial"/>
      <family val="2"/>
    </font>
    <font>
      <sz val="11"/>
      <color theme="1"/>
      <name val="Calibri"/>
      <family val="2"/>
    </font>
    <font>
      <b/>
      <i/>
      <sz val="11"/>
      <name val="Calibri"/>
      <family val="2"/>
      <scheme val="minor"/>
    </font>
    <font>
      <sz val="11"/>
      <color theme="1"/>
      <name val="Arial"/>
      <family val="2"/>
    </font>
    <font>
      <sz val="10"/>
      <color theme="1"/>
      <name val="Arial"/>
      <family val="2"/>
    </font>
    <font>
      <b/>
      <sz val="11"/>
      <color rgb="FF008EAA"/>
      <name val="Arial"/>
      <family val="2"/>
    </font>
    <font>
      <b/>
      <sz val="10"/>
      <color rgb="FF008EAA"/>
      <name val="Arial"/>
      <family val="2"/>
    </font>
    <font>
      <b/>
      <sz val="11"/>
      <color theme="1"/>
      <name val="Arial"/>
      <family val="2"/>
    </font>
    <font>
      <b/>
      <sz val="11"/>
      <name val="Arial"/>
      <family val="2"/>
    </font>
    <font>
      <u/>
      <sz val="9"/>
      <color theme="10"/>
      <name val="Arial"/>
      <family val="2"/>
    </font>
    <font>
      <b/>
      <sz val="10"/>
      <color theme="1"/>
      <name val="Arial"/>
      <family val="2"/>
    </font>
    <font>
      <b/>
      <sz val="10"/>
      <name val="Arial"/>
      <family val="2"/>
    </font>
    <font>
      <u/>
      <sz val="10"/>
      <color theme="10"/>
      <name val="Arial"/>
      <family val="2"/>
    </font>
    <font>
      <sz val="10"/>
      <color rgb="FF008EAA"/>
      <name val="Arial"/>
      <family val="2"/>
    </font>
    <font>
      <u/>
      <sz val="10"/>
      <color theme="4" tint="-0.24994659260841701"/>
      <name val="Arial"/>
      <family val="2"/>
    </font>
    <font>
      <u/>
      <sz val="9"/>
      <color theme="4" tint="-0.24994659260841701"/>
      <name val="Arial"/>
      <family val="2"/>
    </font>
    <font>
      <b/>
      <i/>
      <sz val="10"/>
      <name val="Arial"/>
      <family val="2"/>
    </font>
    <font>
      <i/>
      <sz val="10"/>
      <name val="Arial"/>
      <family val="2"/>
    </font>
    <font>
      <u/>
      <sz val="10"/>
      <color rgb="FF0563C1"/>
      <name val="Arial"/>
      <family val="2"/>
    </font>
    <font>
      <sz val="9"/>
      <color theme="1"/>
      <name val="Arial"/>
      <family val="2"/>
    </font>
    <font>
      <sz val="8"/>
      <color theme="1"/>
      <name val="Arial"/>
      <family val="2"/>
    </font>
    <font>
      <b/>
      <vertAlign val="subscript"/>
      <sz val="10"/>
      <color theme="1"/>
      <name val="Arial"/>
      <family val="2"/>
    </font>
    <font>
      <b/>
      <vertAlign val="superscript"/>
      <sz val="10"/>
      <color theme="1"/>
      <name val="Arial"/>
      <family val="2"/>
    </font>
    <font>
      <sz val="9"/>
      <name val="Arial"/>
      <family val="2"/>
    </font>
    <font>
      <b/>
      <vertAlign val="superscript"/>
      <sz val="10"/>
      <name val="Arial"/>
      <family val="2"/>
    </font>
    <font>
      <sz val="8"/>
      <name val="Arial"/>
      <family val="2"/>
    </font>
    <font>
      <vertAlign val="subscript"/>
      <sz val="10"/>
      <name val="Arial"/>
      <family val="2"/>
    </font>
    <font>
      <vertAlign val="superscript"/>
      <sz val="10"/>
      <name val="Arial"/>
      <family val="2"/>
    </font>
    <font>
      <vertAlign val="superscript"/>
      <sz val="9"/>
      <name val="Arial"/>
      <family val="2"/>
    </font>
    <font>
      <vertAlign val="subscript"/>
      <sz val="9"/>
      <name val="Arial"/>
      <family val="2"/>
    </font>
    <font>
      <sz val="10"/>
      <color rgb="FF000000"/>
      <name val="Arial"/>
      <family val="2"/>
    </font>
    <font>
      <vertAlign val="superscript"/>
      <sz val="10"/>
      <color theme="1"/>
      <name val="Arial"/>
      <family val="2"/>
    </font>
    <font>
      <vertAlign val="superscript"/>
      <sz val="9"/>
      <color theme="1"/>
      <name val="Arial"/>
      <family val="2"/>
    </font>
    <font>
      <i/>
      <sz val="10"/>
      <color theme="1"/>
      <name val="Arial"/>
      <family val="2"/>
    </font>
    <font>
      <b/>
      <vertAlign val="superscript"/>
      <sz val="11"/>
      <color theme="1"/>
      <name val="Arial"/>
      <family val="2"/>
    </font>
    <font>
      <sz val="10"/>
      <color rgb="FFFF0000"/>
      <name val="Arial"/>
      <family val="2"/>
    </font>
    <font>
      <vertAlign val="subscript"/>
      <sz val="10"/>
      <color theme="1"/>
      <name val="Arial"/>
      <family val="2"/>
    </font>
    <font>
      <vertAlign val="superscript"/>
      <sz val="8"/>
      <name val="Arial"/>
      <family val="2"/>
    </font>
    <font>
      <b/>
      <i/>
      <sz val="10"/>
      <color theme="1"/>
      <name val="Arial"/>
      <family val="2"/>
    </font>
    <font>
      <b/>
      <i/>
      <sz val="11"/>
      <color rgb="FF008EAA"/>
      <name val="Arial"/>
      <family val="2"/>
    </font>
    <font>
      <sz val="20"/>
      <color theme="1"/>
      <name val="Calibri"/>
      <family val="2"/>
      <scheme val="minor"/>
    </font>
    <font>
      <u/>
      <sz val="9"/>
      <color rgb="FF0000FF"/>
      <name val="Arial"/>
      <family val="2"/>
    </font>
    <font>
      <b/>
      <sz val="14"/>
      <color rgb="FF000000"/>
      <name val="Calibri"/>
      <family val="2"/>
    </font>
    <font>
      <b/>
      <vertAlign val="superscript"/>
      <sz val="14"/>
      <color theme="1"/>
      <name val="Calibri"/>
      <family val="2"/>
      <scheme val="minor"/>
    </font>
    <font>
      <b/>
      <sz val="14"/>
      <name val="Calibri"/>
      <family val="2"/>
      <scheme val="minor"/>
    </font>
    <font>
      <u/>
      <sz val="10"/>
      <color rgb="FF0000FF"/>
      <name val="Arial"/>
      <family val="2"/>
    </font>
    <font>
      <u/>
      <vertAlign val="superscript"/>
      <sz val="9"/>
      <color rgb="FF0000FF"/>
      <name val="Arial"/>
      <family val="2"/>
    </font>
    <font>
      <b/>
      <sz val="9"/>
      <name val="Arial"/>
      <family val="2"/>
    </font>
    <font>
      <b/>
      <vertAlign val="superscript"/>
      <sz val="9"/>
      <name val="Arial"/>
      <family val="2"/>
    </font>
    <font>
      <i/>
      <sz val="9"/>
      <color rgb="FF0000FF"/>
      <name val="Arial"/>
      <family val="2"/>
    </font>
    <font>
      <sz val="9"/>
      <color rgb="FF0000FF"/>
      <name val="Arial"/>
      <family val="2"/>
    </font>
    <font>
      <i/>
      <sz val="9"/>
      <name val="Arial"/>
      <family val="2"/>
    </font>
    <font>
      <b/>
      <sz val="9"/>
      <color theme="1"/>
      <name val="Arial"/>
      <family val="2"/>
    </font>
    <font>
      <b/>
      <vertAlign val="subscript"/>
      <sz val="9"/>
      <name val="Arial"/>
      <family val="2"/>
    </font>
    <font>
      <vertAlign val="superscript"/>
      <sz val="9"/>
      <color indexed="8"/>
      <name val="Arial"/>
      <family val="2"/>
    </font>
    <font>
      <sz val="9"/>
      <color indexed="8"/>
      <name val="Arial"/>
      <family val="2"/>
    </font>
    <font>
      <sz val="7"/>
      <color indexed="81"/>
      <name val="Arial"/>
      <family val="2"/>
    </font>
    <font>
      <b/>
      <sz val="12"/>
      <color theme="1"/>
      <name val="Arial"/>
      <family val="2"/>
    </font>
    <font>
      <i/>
      <sz val="8"/>
      <name val="Arial"/>
      <family val="2"/>
    </font>
    <font>
      <sz val="11"/>
      <name val="Arial"/>
      <family val="2"/>
    </font>
    <font>
      <b/>
      <sz val="12"/>
      <color rgb="FF008EAA"/>
      <name val="Arial"/>
      <family val="2"/>
    </font>
    <font>
      <b/>
      <strike/>
      <sz val="10"/>
      <color theme="1"/>
      <name val="Arial"/>
      <family val="2"/>
    </font>
    <font>
      <b/>
      <u/>
      <sz val="10"/>
      <color rgb="FF008EAA"/>
      <name val="Arial"/>
      <family val="2"/>
    </font>
    <font>
      <sz val="11"/>
      <color rgb="FFFF0000"/>
      <name val="Arial"/>
      <family val="2"/>
    </font>
    <font>
      <u/>
      <sz val="9"/>
      <color rgb="FF2F75B5"/>
      <name val="Arial"/>
      <family val="2"/>
    </font>
    <font>
      <sz val="9"/>
      <color rgb="FF000000"/>
      <name val="Arial"/>
      <family val="2"/>
    </font>
    <font>
      <b/>
      <u/>
      <sz val="10"/>
      <color theme="1"/>
      <name val="Arial"/>
      <family val="2"/>
    </font>
    <font>
      <b/>
      <u/>
      <sz val="10"/>
      <name val="Arial"/>
      <family val="2"/>
    </font>
    <font>
      <sz val="10"/>
      <color rgb="FF0000FF"/>
      <name val="Arial"/>
      <family val="2"/>
    </font>
    <font>
      <vertAlign val="subscript"/>
      <sz val="9"/>
      <color theme="1"/>
      <name val="Arial"/>
      <family val="2"/>
    </font>
    <font>
      <b/>
      <sz val="11"/>
      <color theme="1"/>
      <name val="Calibri"/>
      <family val="2"/>
      <scheme val="minor"/>
    </font>
    <font>
      <b/>
      <vertAlign val="superscript"/>
      <sz val="9"/>
      <color theme="1"/>
      <name val="Arial"/>
      <family val="2"/>
    </font>
    <font>
      <sz val="8"/>
      <color indexed="81"/>
      <name val="Arial"/>
      <family val="2"/>
    </font>
  </fonts>
  <fills count="9">
    <fill>
      <patternFill patternType="none"/>
    </fill>
    <fill>
      <patternFill patternType="gray125"/>
    </fill>
    <fill>
      <patternFill patternType="solid">
        <fgColor rgb="FFD1EAFF"/>
        <bgColor indexed="64"/>
      </patternFill>
    </fill>
    <fill>
      <patternFill patternType="solid">
        <fgColor rgb="FFFFEDC1"/>
        <bgColor indexed="64"/>
      </patternFill>
    </fill>
    <fill>
      <patternFill patternType="solid">
        <fgColor rgb="FFEAF8D8"/>
        <bgColor indexed="64"/>
      </patternFill>
    </fill>
    <fill>
      <patternFill patternType="solid">
        <fgColor rgb="FFFFFFCC"/>
        <bgColor indexed="64"/>
      </patternFill>
    </fill>
    <fill>
      <patternFill patternType="solid">
        <fgColor indexed="9"/>
        <bgColor indexed="64"/>
      </patternFill>
    </fill>
    <fill>
      <patternFill patternType="solid">
        <fgColor rgb="FFC6EFCE"/>
      </patternFill>
    </fill>
    <fill>
      <patternFill patternType="solid">
        <fgColor theme="7" tint="0.39997558519241921"/>
        <bgColor indexed="65"/>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medium">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top style="dotted">
        <color theme="0" tint="-0.34998626667073579"/>
      </top>
      <bottom style="dotted">
        <color theme="0" tint="-0.34998626667073579"/>
      </bottom>
      <diagonal/>
    </border>
    <border>
      <left/>
      <right style="thin">
        <color indexed="64"/>
      </right>
      <top style="dotted">
        <color theme="0" tint="-0.34998626667073579"/>
      </top>
      <bottom style="dotted">
        <color theme="0" tint="-0.34998626667073579"/>
      </bottom>
      <diagonal/>
    </border>
    <border>
      <left/>
      <right/>
      <top style="dotted">
        <color theme="0" tint="-0.34998626667073579"/>
      </top>
      <bottom/>
      <diagonal/>
    </border>
    <border>
      <left/>
      <right style="thin">
        <color indexed="64"/>
      </right>
      <top style="dotted">
        <color theme="0" tint="-0.34998626667073579"/>
      </top>
      <bottom/>
      <diagonal/>
    </border>
    <border>
      <left/>
      <right/>
      <top/>
      <bottom style="dotted">
        <color theme="0" tint="-0.34998626667073579"/>
      </bottom>
      <diagonal/>
    </border>
    <border>
      <left/>
      <right style="thin">
        <color indexed="64"/>
      </right>
      <top/>
      <bottom style="dotted">
        <color theme="0" tint="-0.34998626667073579"/>
      </bottom>
      <diagonal/>
    </border>
    <border>
      <left style="thin">
        <color indexed="64"/>
      </left>
      <right/>
      <top style="dotted">
        <color theme="0" tint="-0.34998626667073579"/>
      </top>
      <bottom/>
      <diagonal/>
    </border>
    <border>
      <left style="thin">
        <color indexed="64"/>
      </left>
      <right/>
      <top/>
      <bottom style="dotted">
        <color theme="0" tint="-0.34998626667073579"/>
      </bottom>
      <diagonal/>
    </border>
  </borders>
  <cellStyleXfs count="30">
    <xf numFmtId="0" fontId="0" fillId="0" borderId="0"/>
    <xf numFmtId="0" fontId="8" fillId="0" borderId="0" applyNumberFormat="0" applyFill="0" applyBorder="0" applyAlignment="0" applyProtection="0"/>
    <xf numFmtId="0" fontId="3" fillId="0" borderId="0" applyNumberFormat="0" applyFill="0" applyBorder="0" applyProtection="0">
      <alignment horizontal="right" vertical="center"/>
    </xf>
    <xf numFmtId="0" fontId="4" fillId="0" borderId="0" applyNumberFormat="0" applyFill="0" applyBorder="0" applyProtection="0">
      <alignment horizontal="right" vertical="center"/>
    </xf>
    <xf numFmtId="0" fontId="9" fillId="0" borderId="0" applyNumberFormat="0" applyFill="0" applyBorder="0" applyProtection="0">
      <alignment vertical="center"/>
    </xf>
    <xf numFmtId="0" fontId="5" fillId="0" borderId="0" applyNumberFormat="0" applyFill="0" applyBorder="0" applyProtection="0">
      <alignment vertical="center"/>
    </xf>
    <xf numFmtId="0" fontId="16" fillId="0" borderId="0" applyNumberFormat="0" applyFill="0" applyBorder="0" applyProtection="0">
      <alignment vertical="center"/>
    </xf>
    <xf numFmtId="0" fontId="6" fillId="0" borderId="0" applyNumberFormat="0" applyFill="0" applyBorder="0" applyProtection="0">
      <alignment vertical="center"/>
    </xf>
    <xf numFmtId="0" fontId="7" fillId="0" borderId="0" applyNumberFormat="0" applyFill="0" applyBorder="0" applyProtection="0">
      <alignment vertical="center"/>
    </xf>
    <xf numFmtId="0" fontId="2" fillId="2" borderId="0" applyNumberFormat="0" applyFont="0" applyBorder="0" applyAlignment="0" applyProtection="0">
      <alignment vertical="center"/>
    </xf>
    <xf numFmtId="0" fontId="2" fillId="3" borderId="0" applyNumberFormat="0" applyFont="0" applyBorder="0" applyAlignment="0" applyProtection="0">
      <alignment vertical="center"/>
    </xf>
    <xf numFmtId="0" fontId="2" fillId="4" borderId="0" applyNumberFormat="0" applyFont="0" applyBorder="0" applyAlignment="0" applyProtection="0">
      <alignment vertical="center"/>
    </xf>
    <xf numFmtId="0" fontId="2" fillId="5" borderId="0" applyNumberFormat="0" applyFont="0" applyBorder="0" applyAlignment="0" applyProtection="0">
      <alignment vertical="center"/>
    </xf>
    <xf numFmtId="0" fontId="10" fillId="0" borderId="0" applyNumberFormat="0" applyBorder="0" applyAlignment="0" applyProtection="0">
      <alignment vertical="center"/>
    </xf>
    <xf numFmtId="0" fontId="9" fillId="0" borderId="0" applyNumberFormat="0" applyFill="0" applyBorder="0" applyProtection="0">
      <alignment horizontal="right"/>
    </xf>
    <xf numFmtId="43" fontId="2" fillId="0" borderId="0" applyFont="0" applyFill="0" applyBorder="0" applyAlignment="0" applyProtection="0"/>
    <xf numFmtId="0" fontId="14" fillId="5" borderId="0" applyFont="0" applyBorder="0" applyAlignment="0" applyProtection="0">
      <alignment horizontal="left"/>
    </xf>
    <xf numFmtId="0" fontId="14" fillId="0" borderId="0"/>
    <xf numFmtId="0" fontId="14" fillId="3" borderId="0" applyFont="0" applyBorder="0" applyAlignment="0" applyProtection="0"/>
    <xf numFmtId="43" fontId="14" fillId="0" borderId="0" applyFont="0" applyFill="0" applyBorder="0" applyAlignment="0" applyProtection="0"/>
    <xf numFmtId="0" fontId="17" fillId="7" borderId="0" applyNumberFormat="0" applyBorder="0" applyAlignment="0" applyProtection="0"/>
    <xf numFmtId="0" fontId="18" fillId="0" borderId="0" applyNumberFormat="0" applyFill="0" applyBorder="0" applyAlignment="0" applyProtection="0"/>
    <xf numFmtId="0" fontId="13" fillId="0" borderId="0" applyNumberFormat="0" applyFill="0" applyBorder="0" applyProtection="0">
      <alignment vertical="center"/>
    </xf>
    <xf numFmtId="0" fontId="19" fillId="0" borderId="0"/>
    <xf numFmtId="0" fontId="2" fillId="0" borderId="0"/>
    <xf numFmtId="0" fontId="2" fillId="0" borderId="0"/>
    <xf numFmtId="0" fontId="64" fillId="0" borderId="0" applyNumberFormat="0" applyFill="0" applyBorder="0" applyAlignment="0" applyProtection="0">
      <alignment vertical="center"/>
    </xf>
    <xf numFmtId="0" fontId="13" fillId="0" borderId="0" applyNumberFormat="0" applyFill="0" applyBorder="0" applyProtection="0">
      <alignment vertical="center"/>
    </xf>
    <xf numFmtId="0" fontId="64" fillId="0" borderId="0" applyNumberFormat="0" applyFill="0" applyBorder="0" applyAlignment="0" applyProtection="0"/>
    <xf numFmtId="0" fontId="1" fillId="8" borderId="0" applyNumberFormat="0" applyBorder="0" applyAlignment="0" applyProtection="0"/>
  </cellStyleXfs>
  <cellXfs count="864">
    <xf numFmtId="0" fontId="0" fillId="0" borderId="0" xfId="0"/>
    <xf numFmtId="0" fontId="9" fillId="0" borderId="0" xfId="4">
      <alignment vertical="center"/>
    </xf>
    <xf numFmtId="0" fontId="0" fillId="0" borderId="0" xfId="0" applyBorder="1"/>
    <xf numFmtId="0" fontId="0" fillId="0" borderId="0" xfId="0"/>
    <xf numFmtId="0" fontId="10" fillId="0" borderId="0" xfId="13" applyBorder="1" applyAlignment="1">
      <alignment horizontal="right"/>
    </xf>
    <xf numFmtId="0" fontId="23" fillId="0" borderId="0" xfId="4" applyFont="1" applyBorder="1" applyAlignment="1">
      <alignment horizontal="left" vertical="center"/>
    </xf>
    <xf numFmtId="0" fontId="23" fillId="0" borderId="0" xfId="0" applyFont="1"/>
    <xf numFmtId="0" fontId="23" fillId="0" borderId="0" xfId="0" applyFont="1" applyBorder="1"/>
    <xf numFmtId="0" fontId="23" fillId="0" borderId="0" xfId="4" applyFont="1" applyBorder="1" applyAlignment="1">
      <alignment horizontal="right" vertical="center"/>
    </xf>
    <xf numFmtId="0" fontId="23" fillId="0" borderId="0" xfId="4" applyFont="1" applyBorder="1">
      <alignment vertical="center"/>
    </xf>
    <xf numFmtId="0" fontId="23" fillId="0" borderId="36" xfId="4" applyFont="1" applyFill="1" applyBorder="1" applyAlignment="1" applyProtection="1">
      <alignment horizontal="center" vertical="center"/>
    </xf>
    <xf numFmtId="0" fontId="14" fillId="0" borderId="27" xfId="17" applyFont="1" applyBorder="1" applyAlignment="1" applyProtection="1">
      <alignment horizontal="right" vertical="center"/>
    </xf>
    <xf numFmtId="0" fontId="14" fillId="0" borderId="29" xfId="17" applyFont="1" applyBorder="1" applyAlignment="1" applyProtection="1">
      <alignment horizontal="right" vertical="center"/>
    </xf>
    <xf numFmtId="0" fontId="14" fillId="0" borderId="27" xfId="17" applyFont="1" applyBorder="1" applyAlignment="1" applyProtection="1">
      <alignment horizontal="right"/>
    </xf>
    <xf numFmtId="0" fontId="23" fillId="0" borderId="36" xfId="0" applyFont="1" applyFill="1" applyBorder="1"/>
    <xf numFmtId="0" fontId="14" fillId="0" borderId="36" xfId="17" applyFont="1" applyFill="1" applyBorder="1" applyAlignment="1" applyProtection="1">
      <alignment horizontal="center"/>
    </xf>
    <xf numFmtId="0" fontId="23" fillId="0" borderId="36" xfId="0" applyFont="1" applyFill="1" applyBorder="1" applyAlignment="1">
      <alignment horizontal="center"/>
    </xf>
    <xf numFmtId="0" fontId="14" fillId="0" borderId="36" xfId="11" applyFont="1" applyFill="1" applyBorder="1" applyAlignment="1" applyProtection="1">
      <alignment horizontal="center" wrapText="1"/>
    </xf>
    <xf numFmtId="0" fontId="22" fillId="0" borderId="0" xfId="0" applyFont="1" applyBorder="1"/>
    <xf numFmtId="0" fontId="23" fillId="0" borderId="9" xfId="0" applyFont="1" applyFill="1" applyBorder="1"/>
    <xf numFmtId="0" fontId="23" fillId="0" borderId="11" xfId="0" applyFont="1" applyBorder="1"/>
    <xf numFmtId="0" fontId="50" fillId="0" borderId="0" xfId="0" applyFont="1" applyBorder="1"/>
    <xf numFmtId="0" fontId="42" fillId="0" borderId="38" xfId="11" applyFont="1" applyFill="1" applyBorder="1" applyAlignment="1" applyProtection="1">
      <alignment horizontal="center" wrapText="1"/>
    </xf>
    <xf numFmtId="0" fontId="42" fillId="0" borderId="50" xfId="11" applyFont="1" applyFill="1" applyBorder="1" applyAlignment="1" applyProtection="1">
      <alignment horizontal="center" wrapText="1"/>
    </xf>
    <xf numFmtId="0" fontId="23" fillId="0" borderId="36" xfId="0" applyFont="1" applyFill="1" applyBorder="1" applyAlignment="1">
      <alignment horizontal="center" vertical="center"/>
    </xf>
    <xf numFmtId="0" fontId="23" fillId="0" borderId="36" xfId="0" applyFont="1" applyBorder="1"/>
    <xf numFmtId="0" fontId="23" fillId="0" borderId="37" xfId="4" applyFont="1" applyFill="1" applyBorder="1" applyAlignment="1">
      <alignment horizontal="right" vertical="center"/>
    </xf>
    <xf numFmtId="2" fontId="23" fillId="0" borderId="0" xfId="0" applyNumberFormat="1" applyFont="1" applyBorder="1" applyAlignment="1">
      <alignment horizontal="center"/>
    </xf>
    <xf numFmtId="2" fontId="14" fillId="0" borderId="0" xfId="15" applyNumberFormat="1" applyFont="1" applyBorder="1" applyAlignment="1" applyProtection="1">
      <alignment horizontal="center"/>
    </xf>
    <xf numFmtId="2" fontId="14" fillId="0" borderId="0" xfId="17" applyNumberFormat="1" applyFont="1" applyBorder="1" applyAlignment="1" applyProtection="1">
      <alignment horizontal="center"/>
    </xf>
    <xf numFmtId="2" fontId="30" fillId="4" borderId="12" xfId="11" applyNumberFormat="1" applyFont="1" applyBorder="1" applyAlignment="1" applyProtection="1">
      <alignment horizontal="center" vertical="center"/>
    </xf>
    <xf numFmtId="1" fontId="30" fillId="5" borderId="34" xfId="12" applyNumberFormat="1" applyFont="1" applyFill="1" applyBorder="1" applyAlignment="1" applyProtection="1">
      <alignment horizontal="center" vertical="center"/>
    </xf>
    <xf numFmtId="2" fontId="30" fillId="4" borderId="13" xfId="11" applyNumberFormat="1" applyFont="1" applyBorder="1" applyAlignment="1" applyProtection="1">
      <alignment horizontal="center" vertical="center"/>
    </xf>
    <xf numFmtId="1" fontId="30" fillId="5" borderId="28" xfId="12" applyNumberFormat="1" applyFont="1" applyFill="1" applyBorder="1" applyAlignment="1" applyProtection="1">
      <alignment horizontal="center" vertical="center"/>
    </xf>
    <xf numFmtId="2" fontId="23" fillId="0" borderId="20" xfId="0" applyNumberFormat="1" applyFont="1" applyBorder="1" applyAlignment="1">
      <alignment horizontal="center"/>
    </xf>
    <xf numFmtId="167" fontId="30" fillId="5" borderId="22" xfId="12" applyNumberFormat="1" applyFont="1" applyFill="1" applyBorder="1" applyAlignment="1" applyProtection="1">
      <alignment horizontal="center" vertical="center"/>
    </xf>
    <xf numFmtId="2" fontId="23" fillId="0" borderId="36" xfId="0" applyNumberFormat="1" applyFont="1" applyFill="1" applyBorder="1" applyAlignment="1">
      <alignment horizontal="center"/>
    </xf>
    <xf numFmtId="2" fontId="14" fillId="0" borderId="36" xfId="17" applyNumberFormat="1" applyFont="1" applyFill="1" applyBorder="1" applyAlignment="1" applyProtection="1">
      <alignment horizontal="center"/>
    </xf>
    <xf numFmtId="2" fontId="14" fillId="0" borderId="36" xfId="11" applyNumberFormat="1" applyFont="1" applyFill="1" applyBorder="1" applyAlignment="1" applyProtection="1">
      <alignment horizontal="center" wrapText="1"/>
    </xf>
    <xf numFmtId="1" fontId="23" fillId="0" borderId="37" xfId="4" applyNumberFormat="1" applyFont="1" applyFill="1" applyBorder="1" applyAlignment="1">
      <alignment horizontal="right" vertical="center"/>
    </xf>
    <xf numFmtId="1" fontId="30" fillId="0" borderId="49" xfId="11" applyNumberFormat="1" applyFont="1" applyFill="1" applyBorder="1" applyAlignment="1" applyProtection="1">
      <alignment horizontal="center" vertical="center"/>
    </xf>
    <xf numFmtId="165" fontId="30" fillId="4" borderId="13" xfId="11" applyNumberFormat="1" applyFont="1" applyBorder="1" applyAlignment="1" applyProtection="1">
      <alignment horizontal="center" vertical="center"/>
    </xf>
    <xf numFmtId="1" fontId="30" fillId="0" borderId="31" xfId="11" applyNumberFormat="1" applyFont="1" applyFill="1" applyBorder="1" applyAlignment="1" applyProtection="1">
      <alignment horizontal="center" vertical="center"/>
    </xf>
    <xf numFmtId="1" fontId="30" fillId="0" borderId="34" xfId="11" applyNumberFormat="1" applyFont="1" applyFill="1" applyBorder="1" applyAlignment="1" applyProtection="1">
      <alignment horizontal="center" vertical="center"/>
    </xf>
    <xf numFmtId="0" fontId="23" fillId="0" borderId="23" xfId="0" applyFont="1" applyBorder="1" applyAlignment="1">
      <alignment horizontal="left"/>
    </xf>
    <xf numFmtId="2" fontId="23" fillId="0" borderId="24" xfId="0" applyNumberFormat="1" applyFont="1" applyBorder="1" applyAlignment="1">
      <alignment horizontal="center"/>
    </xf>
    <xf numFmtId="1" fontId="30" fillId="5" borderId="22" xfId="12" applyNumberFormat="1" applyFont="1" applyFill="1" applyBorder="1" applyAlignment="1" applyProtection="1">
      <alignment horizontal="center" vertical="center"/>
    </xf>
    <xf numFmtId="1" fontId="30" fillId="5" borderId="22" xfId="12" applyNumberFormat="1" applyFont="1" applyBorder="1" applyAlignment="1" applyProtection="1">
      <alignment horizontal="center" vertical="center"/>
    </xf>
    <xf numFmtId="2" fontId="23" fillId="0" borderId="36" xfId="4" applyNumberFormat="1" applyFont="1" applyFill="1" applyBorder="1" applyAlignment="1" applyProtection="1">
      <alignment horizontal="center"/>
    </xf>
    <xf numFmtId="1" fontId="23" fillId="0" borderId="39" xfId="4" applyNumberFormat="1" applyFont="1" applyFill="1" applyBorder="1" applyAlignment="1">
      <alignment horizontal="right" vertical="center"/>
    </xf>
    <xf numFmtId="0" fontId="23" fillId="0" borderId="63" xfId="8" applyFont="1" applyFill="1" applyBorder="1" applyAlignment="1" applyProtection="1">
      <alignment horizontal="right" vertical="center"/>
    </xf>
    <xf numFmtId="2" fontId="23" fillId="0" borderId="5" xfId="0" applyNumberFormat="1" applyFont="1" applyFill="1" applyBorder="1" applyAlignment="1">
      <alignment horizontal="center"/>
    </xf>
    <xf numFmtId="2" fontId="23" fillId="0" borderId="6" xfId="4" applyNumberFormat="1" applyFont="1" applyFill="1" applyBorder="1" applyAlignment="1" applyProtection="1">
      <alignment horizontal="center"/>
    </xf>
    <xf numFmtId="165" fontId="30" fillId="4" borderId="12" xfId="11" applyNumberFormat="1" applyFont="1" applyBorder="1" applyAlignment="1" applyProtection="1">
      <alignment horizontal="center" vertical="center"/>
    </xf>
    <xf numFmtId="1" fontId="23" fillId="0" borderId="49" xfId="4" applyNumberFormat="1" applyFont="1" applyFill="1" applyBorder="1" applyAlignment="1">
      <alignment horizontal="right" vertical="center"/>
    </xf>
    <xf numFmtId="0" fontId="23" fillId="0" borderId="27" xfId="8" applyFont="1" applyFill="1" applyBorder="1" applyAlignment="1" applyProtection="1">
      <alignment horizontal="right" vertical="center"/>
    </xf>
    <xf numFmtId="2" fontId="23" fillId="0" borderId="0" xfId="0" applyNumberFormat="1" applyFont="1" applyFill="1" applyBorder="1" applyAlignment="1">
      <alignment horizontal="center"/>
    </xf>
    <xf numFmtId="2" fontId="23" fillId="0" borderId="8" xfId="4" applyNumberFormat="1" applyFont="1" applyFill="1" applyBorder="1" applyAlignment="1" applyProtection="1">
      <alignment horizontal="center"/>
    </xf>
    <xf numFmtId="1" fontId="23" fillId="0" borderId="31" xfId="4" applyNumberFormat="1" applyFont="1" applyFill="1" applyBorder="1" applyAlignment="1">
      <alignment horizontal="right" vertical="center"/>
    </xf>
    <xf numFmtId="0" fontId="23" fillId="0" borderId="64" xfId="8" applyFont="1" applyFill="1" applyBorder="1" applyAlignment="1" applyProtection="1">
      <alignment horizontal="right" vertical="center"/>
    </xf>
    <xf numFmtId="2" fontId="23" fillId="0" borderId="65" xfId="0" applyNumberFormat="1" applyFont="1" applyFill="1" applyBorder="1" applyAlignment="1">
      <alignment horizontal="center"/>
    </xf>
    <xf numFmtId="2" fontId="23" fillId="0" borderId="66" xfId="4" applyNumberFormat="1" applyFont="1" applyFill="1" applyBorder="1" applyAlignment="1" applyProtection="1">
      <alignment horizontal="center"/>
    </xf>
    <xf numFmtId="0" fontId="23" fillId="0" borderId="67" xfId="8" applyFont="1" applyFill="1" applyBorder="1" applyAlignment="1" applyProtection="1">
      <alignment horizontal="right" vertical="center"/>
    </xf>
    <xf numFmtId="2" fontId="23" fillId="0" borderId="68" xfId="0" applyNumberFormat="1" applyFont="1" applyFill="1" applyBorder="1" applyAlignment="1">
      <alignment horizontal="center"/>
    </xf>
    <xf numFmtId="2" fontId="23" fillId="0" borderId="69" xfId="4" applyNumberFormat="1" applyFont="1" applyFill="1" applyBorder="1" applyAlignment="1" applyProtection="1">
      <alignment horizontal="center"/>
    </xf>
    <xf numFmtId="0" fontId="14" fillId="0" borderId="32" xfId="17" applyFont="1" applyBorder="1" applyAlignment="1" applyProtection="1">
      <alignment horizontal="left" vertical="center"/>
    </xf>
    <xf numFmtId="2" fontId="23" fillId="0" borderId="2" xfId="0" applyNumberFormat="1" applyFont="1" applyBorder="1" applyAlignment="1">
      <alignment horizontal="left"/>
    </xf>
    <xf numFmtId="2" fontId="23" fillId="0" borderId="2" xfId="0" applyNumberFormat="1" applyFont="1" applyBorder="1" applyAlignment="1">
      <alignment horizontal="center"/>
    </xf>
    <xf numFmtId="2" fontId="14" fillId="0" borderId="2" xfId="17" applyNumberFormat="1" applyFont="1" applyBorder="1" applyAlignment="1" applyProtection="1">
      <alignment horizontal="center"/>
    </xf>
    <xf numFmtId="1" fontId="30" fillId="5" borderId="28" xfId="12" applyNumberFormat="1" applyFont="1" applyBorder="1" applyAlignment="1" applyProtection="1">
      <alignment horizontal="center" vertical="center"/>
    </xf>
    <xf numFmtId="0" fontId="23" fillId="0" borderId="19" xfId="0" applyFont="1" applyBorder="1" applyAlignment="1">
      <alignment horizontal="left"/>
    </xf>
    <xf numFmtId="2" fontId="30" fillId="4" borderId="21" xfId="11" applyNumberFormat="1" applyFont="1" applyBorder="1" applyAlignment="1" applyProtection="1">
      <alignment horizontal="center" vertical="center"/>
    </xf>
    <xf numFmtId="1" fontId="29" fillId="5" borderId="30" xfId="12" applyNumberFormat="1" applyFont="1" applyBorder="1" applyAlignment="1">
      <alignment horizontal="center"/>
    </xf>
    <xf numFmtId="0" fontId="29" fillId="0" borderId="46" xfId="8" applyFont="1" applyFill="1" applyBorder="1" applyProtection="1">
      <alignment vertical="center"/>
    </xf>
    <xf numFmtId="0" fontId="42" fillId="0" borderId="70" xfId="11" applyFont="1" applyFill="1" applyBorder="1" applyAlignment="1" applyProtection="1">
      <alignment horizontal="center" wrapText="1"/>
    </xf>
    <xf numFmtId="1" fontId="30" fillId="5" borderId="34" xfId="12" applyNumberFormat="1" applyFont="1" applyBorder="1" applyAlignment="1" applyProtection="1">
      <alignment horizontal="center" vertical="center"/>
    </xf>
    <xf numFmtId="167" fontId="30" fillId="5" borderId="22" xfId="12" applyNumberFormat="1" applyFont="1" applyBorder="1" applyAlignment="1" applyProtection="1">
      <alignment horizontal="center" vertical="center"/>
    </xf>
    <xf numFmtId="0" fontId="23" fillId="0" borderId="4" xfId="0" applyFont="1" applyFill="1" applyBorder="1" applyAlignment="1">
      <alignment horizontal="right"/>
    </xf>
    <xf numFmtId="0" fontId="23" fillId="0" borderId="4" xfId="0" applyFont="1" applyBorder="1" applyAlignment="1">
      <alignment horizontal="right"/>
    </xf>
    <xf numFmtId="10" fontId="23" fillId="0" borderId="6" xfId="0" applyNumberFormat="1" applyFont="1" applyBorder="1"/>
    <xf numFmtId="0" fontId="23" fillId="0" borderId="9" xfId="0" applyFont="1" applyFill="1" applyBorder="1" applyAlignment="1">
      <alignment horizontal="right"/>
    </xf>
    <xf numFmtId="0" fontId="23" fillId="0" borderId="9" xfId="0" applyFont="1" applyBorder="1" applyAlignment="1">
      <alignment horizontal="right"/>
    </xf>
    <xf numFmtId="10" fontId="23" fillId="0" borderId="11" xfId="0" applyNumberFormat="1" applyFont="1" applyBorder="1"/>
    <xf numFmtId="10" fontId="23" fillId="0" borderId="11" xfId="0" applyNumberFormat="1" applyFont="1" applyBorder="1" applyAlignment="1">
      <alignment horizontal="center" vertical="center"/>
    </xf>
    <xf numFmtId="0" fontId="23" fillId="0" borderId="5" xfId="0" applyFont="1" applyFill="1" applyBorder="1" applyAlignment="1">
      <alignment horizontal="right"/>
    </xf>
    <xf numFmtId="0" fontId="23" fillId="0" borderId="4" xfId="0" applyFont="1" applyBorder="1"/>
    <xf numFmtId="0" fontId="23" fillId="0" borderId="10" xfId="0" applyFont="1" applyFill="1" applyBorder="1" applyAlignment="1">
      <alignment horizontal="right"/>
    </xf>
    <xf numFmtId="0" fontId="23" fillId="0" borderId="9" xfId="0" applyFont="1" applyBorder="1"/>
    <xf numFmtId="0" fontId="23" fillId="0" borderId="4" xfId="0" applyFont="1" applyFill="1" applyBorder="1"/>
    <xf numFmtId="0" fontId="38" fillId="0" borderId="9" xfId="4" applyFont="1" applyBorder="1" applyAlignment="1" applyProtection="1">
      <alignment horizontal="center" vertical="center"/>
    </xf>
    <xf numFmtId="0" fontId="38" fillId="0" borderId="11" xfId="4" applyFont="1" applyBorder="1" applyAlignment="1" applyProtection="1">
      <alignment horizontal="center" vertical="center"/>
    </xf>
    <xf numFmtId="0" fontId="23" fillId="0" borderId="14" xfId="0" applyFont="1" applyFill="1" applyBorder="1" applyAlignment="1">
      <alignment horizontal="center" vertical="center"/>
    </xf>
    <xf numFmtId="0" fontId="23" fillId="0" borderId="59" xfId="0" applyFont="1" applyFill="1" applyBorder="1" applyAlignment="1">
      <alignment horizontal="left" indent="1"/>
    </xf>
    <xf numFmtId="0" fontId="23" fillId="0" borderId="60" xfId="0" applyFont="1" applyBorder="1" applyAlignment="1">
      <alignment horizontal="right"/>
    </xf>
    <xf numFmtId="0" fontId="50" fillId="0" borderId="4" xfId="0" applyFont="1" applyBorder="1" applyAlignment="1">
      <alignment vertical="center" wrapText="1"/>
    </xf>
    <xf numFmtId="0" fontId="23" fillId="0" borderId="59" xfId="0" applyFont="1" applyFill="1" applyBorder="1" applyAlignment="1">
      <alignment horizontal="left" indent="4"/>
    </xf>
    <xf numFmtId="0" fontId="50" fillId="0" borderId="7" xfId="0" applyFont="1" applyBorder="1" applyAlignment="1">
      <alignment vertical="center" wrapText="1"/>
    </xf>
    <xf numFmtId="0" fontId="50" fillId="0" borderId="7" xfId="0" applyFont="1" applyBorder="1"/>
    <xf numFmtId="0" fontId="23" fillId="0" borderId="60" xfId="0" applyFont="1" applyFill="1" applyBorder="1" applyAlignment="1">
      <alignment horizontal="right"/>
    </xf>
    <xf numFmtId="0" fontId="23" fillId="0" borderId="59" xfId="0" applyFont="1" applyFill="1" applyBorder="1" applyAlignment="1">
      <alignment horizontal="left" indent="7"/>
    </xf>
    <xf numFmtId="0" fontId="23" fillId="0" borderId="61" xfId="0" applyFont="1" applyFill="1" applyBorder="1" applyAlignment="1">
      <alignment horizontal="left" indent="4"/>
    </xf>
    <xf numFmtId="0" fontId="23" fillId="0" borderId="62" xfId="0" applyFont="1" applyFill="1" applyBorder="1" applyAlignment="1">
      <alignment horizontal="right"/>
    </xf>
    <xf numFmtId="0" fontId="50" fillId="0" borderId="9" xfId="0" applyFont="1" applyBorder="1"/>
    <xf numFmtId="0" fontId="23" fillId="0" borderId="10" xfId="0" applyFont="1" applyBorder="1"/>
    <xf numFmtId="0" fontId="29" fillId="0" borderId="0" xfId="0" applyFont="1" applyBorder="1" applyAlignment="1">
      <alignment vertical="center"/>
    </xf>
    <xf numFmtId="0" fontId="23" fillId="0" borderId="0" xfId="0" applyFont="1" applyFill="1" applyBorder="1" applyAlignment="1">
      <alignment horizontal="center" vertical="center"/>
    </xf>
    <xf numFmtId="0" fontId="38" fillId="0" borderId="13" xfId="4" applyFont="1" applyBorder="1" applyAlignment="1" applyProtection="1">
      <alignment horizontal="center" vertical="center"/>
    </xf>
    <xf numFmtId="0" fontId="25" fillId="0" borderId="0" xfId="13" applyFont="1" applyBorder="1" applyAlignment="1">
      <alignment horizontal="right"/>
    </xf>
    <xf numFmtId="0" fontId="29" fillId="0" borderId="0" xfId="5" applyFont="1" applyBorder="1" applyAlignment="1">
      <alignment horizontal="left" vertical="center"/>
    </xf>
    <xf numFmtId="0" fontId="23" fillId="4" borderId="0" xfId="4" applyFont="1" applyFill="1" applyBorder="1">
      <alignment vertical="center"/>
    </xf>
    <xf numFmtId="0" fontId="23" fillId="5" borderId="0" xfId="4" applyFont="1" applyFill="1" applyBorder="1">
      <alignment vertical="center"/>
    </xf>
    <xf numFmtId="0" fontId="23" fillId="3" borderId="0" xfId="4" applyFont="1" applyFill="1" applyBorder="1">
      <alignment vertical="center"/>
    </xf>
    <xf numFmtId="0" fontId="0" fillId="0" borderId="0" xfId="0" applyBorder="1" applyProtection="1">
      <protection hidden="1"/>
    </xf>
    <xf numFmtId="0" fontId="10" fillId="0" borderId="0" xfId="13" applyBorder="1" applyAlignment="1" applyProtection="1">
      <alignment horizontal="right"/>
      <protection hidden="1"/>
    </xf>
    <xf numFmtId="0" fontId="23" fillId="0" borderId="0" xfId="4" applyFont="1" applyBorder="1" applyProtection="1">
      <alignment vertical="center"/>
      <protection hidden="1"/>
    </xf>
    <xf numFmtId="0" fontId="23" fillId="0" borderId="0" xfId="0" applyFont="1" applyBorder="1" applyProtection="1">
      <protection hidden="1"/>
    </xf>
    <xf numFmtId="0" fontId="14" fillId="0" borderId="0" xfId="0" applyFont="1" applyBorder="1" applyProtection="1">
      <protection hidden="1"/>
    </xf>
    <xf numFmtId="2" fontId="30" fillId="4" borderId="12" xfId="11" applyNumberFormat="1" applyFont="1" applyBorder="1" applyAlignment="1" applyProtection="1">
      <alignment horizontal="center"/>
      <protection hidden="1"/>
    </xf>
    <xf numFmtId="0" fontId="9" fillId="0" borderId="0" xfId="4" applyBorder="1" applyProtection="1">
      <alignment vertical="center"/>
      <protection hidden="1"/>
    </xf>
    <xf numFmtId="0" fontId="12" fillId="0" borderId="0" xfId="0" applyFont="1" applyBorder="1" applyProtection="1">
      <protection hidden="1"/>
    </xf>
    <xf numFmtId="0" fontId="9" fillId="0" borderId="0" xfId="0" applyFont="1" applyBorder="1" applyProtection="1">
      <protection hidden="1"/>
    </xf>
    <xf numFmtId="0" fontId="23" fillId="2" borderId="12" xfId="9" applyFont="1" applyBorder="1" applyAlignment="1" applyProtection="1">
      <alignment horizontal="center"/>
      <protection hidden="1"/>
    </xf>
    <xf numFmtId="0" fontId="9" fillId="0" borderId="0" xfId="4" applyFont="1" applyBorder="1" applyProtection="1">
      <alignment vertical="center"/>
      <protection hidden="1"/>
    </xf>
    <xf numFmtId="0" fontId="29" fillId="0" borderId="0" xfId="0" applyFont="1" applyFill="1" applyBorder="1" applyAlignment="1" applyProtection="1">
      <alignment horizontal="right"/>
      <protection hidden="1"/>
    </xf>
    <xf numFmtId="0" fontId="23" fillId="0" borderId="0" xfId="0" applyFont="1" applyFill="1" applyBorder="1" applyAlignment="1" applyProtection="1">
      <alignment horizontal="right"/>
      <protection hidden="1"/>
    </xf>
    <xf numFmtId="0" fontId="23" fillId="0" borderId="0" xfId="0" applyFont="1" applyBorder="1" applyAlignment="1" applyProtection="1">
      <alignment horizontal="center"/>
      <protection hidden="1"/>
    </xf>
    <xf numFmtId="2" fontId="9" fillId="0" borderId="0" xfId="4" applyNumberFormat="1" applyBorder="1" applyProtection="1">
      <alignment vertical="center"/>
      <protection hidden="1"/>
    </xf>
    <xf numFmtId="0" fontId="39" fillId="0" borderId="14" xfId="4" applyFont="1" applyBorder="1" applyAlignment="1" applyProtection="1">
      <alignment horizontal="center" vertical="center"/>
      <protection hidden="1"/>
    </xf>
    <xf numFmtId="0" fontId="38" fillId="0" borderId="15" xfId="4" applyFont="1" applyBorder="1" applyAlignment="1" applyProtection="1">
      <alignment horizontal="center" vertical="center"/>
      <protection hidden="1"/>
    </xf>
    <xf numFmtId="164" fontId="23" fillId="0" borderId="13" xfId="4" applyNumberFormat="1" applyFont="1" applyFill="1" applyBorder="1" applyAlignment="1" applyProtection="1">
      <alignment horizontal="center" vertical="center"/>
      <protection hidden="1"/>
    </xf>
    <xf numFmtId="0" fontId="23" fillId="0" borderId="13" xfId="4" applyFont="1" applyBorder="1" applyProtection="1">
      <alignment vertical="center"/>
      <protection hidden="1"/>
    </xf>
    <xf numFmtId="0" fontId="39" fillId="0" borderId="13" xfId="4" applyFont="1" applyBorder="1" applyAlignment="1" applyProtection="1">
      <alignment horizontal="center" vertical="center"/>
      <protection hidden="1"/>
    </xf>
    <xf numFmtId="0" fontId="23" fillId="0" borderId="6" xfId="0" applyFont="1" applyFill="1" applyBorder="1" applyAlignment="1" applyProtection="1">
      <alignment horizontal="right"/>
      <protection hidden="1"/>
    </xf>
    <xf numFmtId="0" fontId="23" fillId="0" borderId="15" xfId="4" applyFont="1" applyBorder="1" applyAlignment="1" applyProtection="1">
      <alignment horizontal="center" vertical="center"/>
      <protection hidden="1"/>
    </xf>
    <xf numFmtId="2" fontId="23" fillId="0" borderId="15" xfId="4" applyNumberFormat="1" applyFont="1" applyBorder="1" applyAlignment="1" applyProtection="1">
      <alignment horizontal="center" vertical="center"/>
      <protection hidden="1"/>
    </xf>
    <xf numFmtId="0" fontId="23" fillId="0" borderId="8" xfId="0" applyFont="1" applyFill="1" applyBorder="1" applyAlignment="1" applyProtection="1">
      <alignment horizontal="right"/>
      <protection hidden="1"/>
    </xf>
    <xf numFmtId="0" fontId="23" fillId="0" borderId="11" xfId="0" applyFont="1" applyFill="1" applyBorder="1" applyAlignment="1" applyProtection="1">
      <alignment horizontal="right"/>
      <protection hidden="1"/>
    </xf>
    <xf numFmtId="0" fontId="26" fillId="4" borderId="1" xfId="11" applyFont="1" applyBorder="1" applyProtection="1">
      <alignment vertical="center"/>
      <protection hidden="1"/>
    </xf>
    <xf numFmtId="0" fontId="26" fillId="4" borderId="2" xfId="11" applyFont="1" applyBorder="1" applyAlignment="1" applyProtection="1">
      <alignment horizontal="center" vertical="center"/>
      <protection hidden="1"/>
    </xf>
    <xf numFmtId="164" fontId="22" fillId="4" borderId="2" xfId="11" applyNumberFormat="1" applyFont="1" applyBorder="1" applyAlignment="1" applyProtection="1">
      <alignment horizontal="center" vertical="center"/>
      <protection hidden="1"/>
    </xf>
    <xf numFmtId="0" fontId="22" fillId="4" borderId="2" xfId="11" applyFont="1" applyBorder="1" applyProtection="1">
      <alignment vertical="center"/>
      <protection hidden="1"/>
    </xf>
    <xf numFmtId="2" fontId="29" fillId="4" borderId="2" xfId="11" applyNumberFormat="1" applyFont="1" applyBorder="1" applyAlignment="1" applyProtection="1">
      <alignment horizontal="center" vertical="center"/>
      <protection hidden="1"/>
    </xf>
    <xf numFmtId="2" fontId="29" fillId="4" borderId="3" xfId="11" applyNumberFormat="1" applyFont="1" applyBorder="1" applyAlignment="1" applyProtection="1">
      <alignment horizontal="center" vertical="center"/>
      <protection hidden="1"/>
    </xf>
    <xf numFmtId="0" fontId="0" fillId="0" borderId="0" xfId="0" applyProtection="1">
      <protection hidden="1"/>
    </xf>
    <xf numFmtId="0" fontId="29" fillId="4" borderId="2" xfId="11" applyFont="1" applyBorder="1" applyAlignment="1" applyProtection="1">
      <alignment horizontal="center" vertical="center"/>
      <protection hidden="1"/>
    </xf>
    <xf numFmtId="164" fontId="23" fillId="4" borderId="2" xfId="11" applyNumberFormat="1" applyFont="1" applyBorder="1" applyAlignment="1" applyProtection="1">
      <alignment horizontal="center" vertical="center"/>
      <protection hidden="1"/>
    </xf>
    <xf numFmtId="0" fontId="23" fillId="4" borderId="2" xfId="11" applyFont="1" applyBorder="1" applyProtection="1">
      <alignment vertical="center"/>
      <protection hidden="1"/>
    </xf>
    <xf numFmtId="0" fontId="14" fillId="0" borderId="0" xfId="0" applyFont="1" applyBorder="1" applyAlignment="1" applyProtection="1">
      <alignment horizontal="right" vertical="top"/>
      <protection hidden="1"/>
    </xf>
    <xf numFmtId="0" fontId="23" fillId="0" borderId="0" xfId="0" applyFont="1" applyBorder="1" applyAlignment="1" applyProtection="1">
      <alignment vertical="top" wrapText="1"/>
      <protection hidden="1"/>
    </xf>
    <xf numFmtId="0" fontId="22" fillId="0" borderId="0" xfId="0" applyFont="1" applyAlignment="1" applyProtection="1">
      <alignment vertical="top"/>
      <protection hidden="1"/>
    </xf>
    <xf numFmtId="0" fontId="22" fillId="0" borderId="0" xfId="0" applyFont="1" applyProtection="1">
      <protection hidden="1"/>
    </xf>
    <xf numFmtId="0" fontId="24" fillId="0" borderId="0" xfId="0" applyFont="1" applyBorder="1" applyAlignment="1" applyProtection="1">
      <alignment horizontal="right" vertical="top"/>
      <protection hidden="1"/>
    </xf>
    <xf numFmtId="0" fontId="22" fillId="0" borderId="0" xfId="0" applyFont="1" applyAlignment="1" applyProtection="1">
      <alignment horizontal="center" vertical="top"/>
      <protection hidden="1"/>
    </xf>
    <xf numFmtId="0" fontId="21" fillId="0" borderId="0" xfId="0" applyFont="1" applyBorder="1" applyAlignment="1" applyProtection="1">
      <alignment vertical="top" wrapText="1"/>
      <protection hidden="1"/>
    </xf>
    <xf numFmtId="0" fontId="15" fillId="0" borderId="0" xfId="0" applyFont="1" applyBorder="1" applyAlignment="1" applyProtection="1">
      <alignment vertical="top" wrapText="1"/>
      <protection hidden="1"/>
    </xf>
    <xf numFmtId="0" fontId="36" fillId="0" borderId="0" xfId="0" applyFont="1" applyBorder="1" applyAlignment="1" applyProtection="1">
      <alignment horizontal="center" vertical="top"/>
      <protection hidden="1"/>
    </xf>
    <xf numFmtId="0" fontId="14" fillId="0" borderId="0" xfId="0" applyFont="1" applyBorder="1" applyAlignment="1" applyProtection="1">
      <alignment vertical="top"/>
      <protection hidden="1"/>
    </xf>
    <xf numFmtId="0" fontId="14" fillId="0" borderId="0" xfId="0" applyFont="1" applyBorder="1" applyAlignment="1" applyProtection="1">
      <alignment vertical="top" wrapText="1"/>
      <protection hidden="1"/>
    </xf>
    <xf numFmtId="169" fontId="23" fillId="0" borderId="0" xfId="0" applyNumberFormat="1" applyFont="1" applyBorder="1" applyAlignment="1" applyProtection="1">
      <alignment horizontal="right" vertical="top"/>
      <protection hidden="1"/>
    </xf>
    <xf numFmtId="0" fontId="36" fillId="0" borderId="0" xfId="0" applyFont="1" applyBorder="1" applyAlignment="1" applyProtection="1">
      <alignment vertical="top"/>
      <protection hidden="1"/>
    </xf>
    <xf numFmtId="0" fontId="23" fillId="0" borderId="0" xfId="0" applyFont="1" applyBorder="1" applyAlignment="1" applyProtection="1">
      <alignment vertical="top"/>
      <protection hidden="1"/>
    </xf>
    <xf numFmtId="169" fontId="23" fillId="0" borderId="0" xfId="0" applyNumberFormat="1" applyFont="1" applyBorder="1" applyAlignment="1" applyProtection="1">
      <alignment horizontal="right" vertical="center"/>
      <protection hidden="1"/>
    </xf>
    <xf numFmtId="0" fontId="23" fillId="0" borderId="0" xfId="0" applyFont="1" applyBorder="1" applyAlignment="1" applyProtection="1">
      <alignment horizontal="left" wrapText="1"/>
      <protection hidden="1"/>
    </xf>
    <xf numFmtId="0" fontId="23" fillId="0" borderId="0" xfId="0" applyFont="1" applyBorder="1" applyAlignment="1" applyProtection="1">
      <alignment horizontal="right"/>
      <protection hidden="1"/>
    </xf>
    <xf numFmtId="0" fontId="23" fillId="0" borderId="0" xfId="0" applyFont="1" applyBorder="1" applyAlignment="1" applyProtection="1">
      <alignment vertical="center" wrapText="1"/>
      <protection hidden="1"/>
    </xf>
    <xf numFmtId="0" fontId="23" fillId="0" borderId="0" xfId="0" applyFont="1" applyBorder="1" applyAlignment="1" applyProtection="1">
      <alignment wrapText="1"/>
      <protection hidden="1"/>
    </xf>
    <xf numFmtId="0" fontId="23" fillId="0" borderId="0" xfId="0" applyFont="1" applyProtection="1">
      <protection hidden="1"/>
    </xf>
    <xf numFmtId="0" fontId="23" fillId="0" borderId="0" xfId="4" applyFont="1" applyBorder="1" applyAlignment="1" applyProtection="1">
      <alignment horizontal="right" vertical="center"/>
      <protection hidden="1"/>
    </xf>
    <xf numFmtId="0" fontId="23" fillId="0" borderId="0" xfId="0" applyFont="1" applyBorder="1" applyAlignment="1" applyProtection="1">
      <protection hidden="1"/>
    </xf>
    <xf numFmtId="0" fontId="23" fillId="0" borderId="0" xfId="0" applyFont="1" applyBorder="1" applyAlignment="1" applyProtection="1">
      <alignment horizontal="left"/>
      <protection hidden="1"/>
    </xf>
    <xf numFmtId="0" fontId="23" fillId="0" borderId="0" xfId="0" applyFont="1" applyBorder="1" applyAlignment="1" applyProtection="1">
      <alignment horizontal="left" vertical="center" indent="5"/>
      <protection hidden="1"/>
    </xf>
    <xf numFmtId="0" fontId="23" fillId="0" borderId="0" xfId="4" applyFont="1" applyBorder="1" applyAlignment="1" applyProtection="1">
      <alignment vertical="center"/>
      <protection hidden="1"/>
    </xf>
    <xf numFmtId="0" fontId="52" fillId="0" borderId="0" xfId="8" applyFont="1" applyFill="1" applyBorder="1" applyAlignment="1" applyProtection="1">
      <alignment vertical="center"/>
      <protection hidden="1"/>
    </xf>
    <xf numFmtId="0" fontId="29" fillId="0" borderId="0" xfId="8" applyFont="1" applyFill="1" applyBorder="1" applyAlignment="1" applyProtection="1">
      <alignment horizontal="left" vertical="center"/>
      <protection hidden="1"/>
    </xf>
    <xf numFmtId="3" fontId="23" fillId="0" borderId="12" xfId="8" applyNumberFormat="1" applyFont="1" applyFill="1" applyBorder="1" applyAlignment="1" applyProtection="1">
      <alignment horizontal="center" vertical="center"/>
      <protection hidden="1"/>
    </xf>
    <xf numFmtId="0" fontId="14" fillId="0" borderId="0" xfId="0" applyFont="1" applyBorder="1" applyAlignment="1" applyProtection="1">
      <alignment vertical="center"/>
      <protection hidden="1"/>
    </xf>
    <xf numFmtId="0" fontId="30" fillId="0" borderId="0" xfId="0" applyFont="1" applyBorder="1" applyAlignment="1" applyProtection="1">
      <alignment horizontal="center"/>
      <protection hidden="1"/>
    </xf>
    <xf numFmtId="0" fontId="30" fillId="0" borderId="0" xfId="0" applyFont="1" applyBorder="1" applyProtection="1">
      <protection hidden="1"/>
    </xf>
    <xf numFmtId="9" fontId="14" fillId="2" borderId="12" xfId="9" applyNumberFormat="1" applyFont="1" applyBorder="1" applyAlignment="1" applyProtection="1">
      <alignment horizontal="center"/>
      <protection locked="0" hidden="1"/>
    </xf>
    <xf numFmtId="167" fontId="14" fillId="6" borderId="12" xfId="0" applyNumberFormat="1" applyFont="1" applyFill="1" applyBorder="1" applyAlignment="1" applyProtection="1">
      <alignment horizontal="center"/>
      <protection hidden="1"/>
    </xf>
    <xf numFmtId="0" fontId="14" fillId="2" borderId="12" xfId="9" applyFont="1" applyBorder="1" applyAlignment="1" applyProtection="1">
      <alignment horizontal="center"/>
      <protection locked="0" hidden="1"/>
    </xf>
    <xf numFmtId="3" fontId="14" fillId="6" borderId="12" xfId="0" applyNumberFormat="1" applyFont="1" applyFill="1" applyBorder="1" applyAlignment="1" applyProtection="1">
      <alignment horizontal="center"/>
      <protection hidden="1"/>
    </xf>
    <xf numFmtId="0" fontId="30" fillId="0" borderId="0" xfId="0" applyFont="1" applyFill="1" applyBorder="1" applyAlignment="1" applyProtection="1">
      <alignment horizontal="left"/>
      <protection hidden="1"/>
    </xf>
    <xf numFmtId="2" fontId="14" fillId="0" borderId="12" xfId="0" applyNumberFormat="1" applyFont="1" applyBorder="1" applyAlignment="1" applyProtection="1">
      <alignment horizontal="center"/>
      <protection hidden="1"/>
    </xf>
    <xf numFmtId="0" fontId="14" fillId="3" borderId="12" xfId="18" applyFont="1" applyBorder="1" applyAlignment="1" applyProtection="1">
      <alignment horizontal="center"/>
      <protection hidden="1"/>
    </xf>
    <xf numFmtId="0" fontId="14" fillId="0" borderId="0" xfId="0" applyFont="1" applyFill="1" applyBorder="1" applyAlignment="1" applyProtection="1">
      <alignment horizontal="left"/>
      <protection hidden="1"/>
    </xf>
    <xf numFmtId="0" fontId="14" fillId="0" borderId="0" xfId="0" quotePrefix="1" applyFont="1" applyFill="1" applyBorder="1" applyAlignment="1" applyProtection="1">
      <protection hidden="1"/>
    </xf>
    <xf numFmtId="2" fontId="14" fillId="0" borderId="12" xfId="0" applyNumberFormat="1" applyFont="1" applyFill="1" applyBorder="1" applyAlignment="1" applyProtection="1">
      <alignment horizontal="center"/>
      <protection hidden="1"/>
    </xf>
    <xf numFmtId="0" fontId="14" fillId="0" borderId="0" xfId="0" applyFont="1" applyFill="1" applyBorder="1" applyAlignment="1" applyProtection="1">
      <protection hidden="1"/>
    </xf>
    <xf numFmtId="0" fontId="23" fillId="0" borderId="7" xfId="0" applyFont="1" applyBorder="1" applyAlignment="1" applyProtection="1">
      <alignment horizontal="center"/>
      <protection hidden="1"/>
    </xf>
    <xf numFmtId="165" fontId="14" fillId="0" borderId="12" xfId="0" applyNumberFormat="1" applyFont="1" applyFill="1" applyBorder="1" applyAlignment="1" applyProtection="1">
      <alignment horizontal="center"/>
      <protection hidden="1"/>
    </xf>
    <xf numFmtId="1" fontId="42" fillId="0" borderId="12" xfId="0" applyNumberFormat="1" applyFont="1" applyBorder="1" applyAlignment="1" applyProtection="1">
      <alignment horizontal="center" vertical="center"/>
      <protection hidden="1"/>
    </xf>
    <xf numFmtId="1" fontId="42" fillId="0" borderId="1" xfId="0" applyNumberFormat="1" applyFont="1" applyBorder="1" applyAlignment="1" applyProtection="1">
      <alignment horizontal="center" vertical="center"/>
      <protection hidden="1"/>
    </xf>
    <xf numFmtId="0" fontId="42" fillId="0" borderId="12" xfId="0" applyFont="1" applyBorder="1" applyAlignment="1" applyProtection="1">
      <alignment horizontal="center" vertical="center" wrapText="1"/>
      <protection hidden="1"/>
    </xf>
    <xf numFmtId="0" fontId="42" fillId="0" borderId="12" xfId="0" applyFont="1" applyFill="1" applyBorder="1" applyAlignment="1" applyProtection="1">
      <alignment horizontal="center" vertical="center" wrapText="1"/>
      <protection hidden="1"/>
    </xf>
    <xf numFmtId="0" fontId="42" fillId="0" borderId="1" xfId="0" applyFont="1" applyFill="1" applyBorder="1" applyAlignment="1" applyProtection="1">
      <alignment horizontal="center" vertical="center" wrapText="1"/>
      <protection hidden="1"/>
    </xf>
    <xf numFmtId="0" fontId="30" fillId="0" borderId="12" xfId="0" applyFont="1" applyBorder="1" applyAlignment="1" applyProtection="1">
      <alignment horizontal="center" vertical="center" wrapText="1"/>
      <protection hidden="1"/>
    </xf>
    <xf numFmtId="4" fontId="14" fillId="0" borderId="12" xfId="0" applyNumberFormat="1" applyFont="1" applyFill="1" applyBorder="1" applyAlignment="1" applyProtection="1">
      <alignment horizontal="center"/>
      <protection hidden="1"/>
    </xf>
    <xf numFmtId="4" fontId="14" fillId="0" borderId="12" xfId="9" applyNumberFormat="1" applyFont="1" applyFill="1" applyBorder="1" applyAlignment="1" applyProtection="1">
      <alignment horizontal="center"/>
      <protection locked="0" hidden="1"/>
    </xf>
    <xf numFmtId="0" fontId="30" fillId="0" borderId="5" xfId="0" applyFont="1" applyBorder="1" applyAlignment="1" applyProtection="1">
      <alignment horizontal="center" vertical="center" wrapText="1"/>
      <protection hidden="1"/>
    </xf>
    <xf numFmtId="0" fontId="14" fillId="0" borderId="0" xfId="1" applyFont="1" applyFill="1" applyBorder="1" applyAlignment="1" applyProtection="1">
      <alignment horizontal="left" vertical="center" wrapText="1" indent="5"/>
      <protection hidden="1"/>
    </xf>
    <xf numFmtId="0" fontId="20" fillId="0" borderId="0" xfId="0" applyFont="1" applyFill="1" applyBorder="1" applyProtection="1">
      <protection hidden="1"/>
    </xf>
    <xf numFmtId="0" fontId="23" fillId="0" borderId="0" xfId="4" applyFont="1" applyBorder="1" applyAlignment="1">
      <alignment vertical="center" wrapText="1"/>
    </xf>
    <xf numFmtId="0" fontId="23" fillId="2" borderId="0" xfId="4" applyFont="1" applyFill="1" applyBorder="1">
      <alignment vertical="center"/>
    </xf>
    <xf numFmtId="2" fontId="23" fillId="0" borderId="15" xfId="4" applyNumberFormat="1" applyFont="1" applyBorder="1" applyAlignment="1" applyProtection="1">
      <alignment horizontal="center" vertical="center"/>
    </xf>
    <xf numFmtId="0" fontId="26" fillId="0" borderId="0" xfId="4" applyFont="1" applyBorder="1" applyAlignment="1">
      <alignment vertical="center" wrapText="1"/>
    </xf>
    <xf numFmtId="0" fontId="26" fillId="0" borderId="0" xfId="4" applyFont="1" applyAlignment="1">
      <alignment vertical="center" wrapText="1"/>
    </xf>
    <xf numFmtId="0" fontId="52" fillId="0" borderId="0" xfId="4" applyFont="1" applyBorder="1">
      <alignment vertical="center"/>
    </xf>
    <xf numFmtId="0" fontId="14" fillId="0" borderId="0" xfId="4" applyFont="1" applyFill="1">
      <alignment vertical="center"/>
    </xf>
    <xf numFmtId="0" fontId="52" fillId="0" borderId="0" xfId="0" applyFont="1" applyBorder="1" applyAlignment="1">
      <alignment wrapText="1"/>
    </xf>
    <xf numFmtId="0" fontId="23" fillId="0" borderId="0" xfId="0" applyFont="1" applyBorder="1" applyAlignment="1">
      <alignment wrapText="1"/>
    </xf>
    <xf numFmtId="0" fontId="23" fillId="0" borderId="0" xfId="4" applyFont="1" applyBorder="1" applyAlignment="1">
      <alignment horizontal="center" vertical="center"/>
    </xf>
    <xf numFmtId="0" fontId="23" fillId="0" borderId="0" xfId="4" applyFont="1" applyAlignment="1">
      <alignment horizontal="center" vertical="center"/>
    </xf>
    <xf numFmtId="0" fontId="23" fillId="0" borderId="0" xfId="4" applyFont="1">
      <alignment vertical="center"/>
    </xf>
    <xf numFmtId="0" fontId="52" fillId="0" borderId="0" xfId="4" applyFont="1">
      <alignment vertical="center"/>
    </xf>
    <xf numFmtId="0" fontId="23" fillId="0" borderId="7" xfId="0" applyFont="1" applyBorder="1" applyAlignment="1" applyProtection="1">
      <alignment vertical="top" wrapText="1"/>
      <protection hidden="1"/>
    </xf>
    <xf numFmtId="0" fontId="23" fillId="0" borderId="71" xfId="0" applyFont="1" applyBorder="1" applyAlignment="1" applyProtection="1">
      <alignment vertical="top" wrapText="1"/>
      <protection hidden="1"/>
    </xf>
    <xf numFmtId="0" fontId="23" fillId="0" borderId="0" xfId="0" applyFont="1" applyBorder="1" applyAlignment="1" applyProtection="1">
      <alignment horizontal="center"/>
      <protection hidden="1"/>
    </xf>
    <xf numFmtId="0" fontId="23" fillId="0" borderId="0" xfId="0" applyFont="1" applyBorder="1" applyAlignment="1" applyProtection="1">
      <alignment horizontal="left"/>
      <protection hidden="1"/>
    </xf>
    <xf numFmtId="0" fontId="31" fillId="0" borderId="0" xfId="1" applyFont="1" applyBorder="1" applyAlignment="1" applyProtection="1">
      <alignment horizontal="left"/>
      <protection hidden="1"/>
    </xf>
    <xf numFmtId="0" fontId="23" fillId="0" borderId="0" xfId="0" applyFont="1" applyBorder="1" applyAlignment="1" applyProtection="1">
      <alignment horizontal="left" vertical="top" wrapText="1" indent="2"/>
      <protection hidden="1"/>
    </xf>
    <xf numFmtId="0" fontId="23" fillId="0" borderId="8" xfId="0" applyFont="1" applyBorder="1" applyAlignment="1" applyProtection="1">
      <alignment horizontal="left" vertical="top" wrapText="1" indent="2"/>
      <protection hidden="1"/>
    </xf>
    <xf numFmtId="0" fontId="23" fillId="0" borderId="65" xfId="0" applyFont="1" applyBorder="1" applyAlignment="1" applyProtection="1">
      <alignment horizontal="left" vertical="top" wrapText="1" indent="2"/>
      <protection hidden="1"/>
    </xf>
    <xf numFmtId="0" fontId="23" fillId="0" borderId="66" xfId="0" applyFont="1" applyBorder="1" applyAlignment="1" applyProtection="1">
      <alignment horizontal="left" vertical="top" wrapText="1" indent="2"/>
      <protection hidden="1"/>
    </xf>
    <xf numFmtId="0" fontId="23" fillId="0" borderId="65" xfId="0" applyFont="1" applyBorder="1" applyAlignment="1" applyProtection="1">
      <alignment vertical="top" wrapText="1"/>
      <protection hidden="1"/>
    </xf>
    <xf numFmtId="0" fontId="64" fillId="0" borderId="0" xfId="6" applyFont="1" applyBorder="1" applyProtection="1">
      <alignment vertical="center"/>
      <protection hidden="1"/>
    </xf>
    <xf numFmtId="0" fontId="64" fillId="0" borderId="0" xfId="6" applyFont="1" applyFill="1" applyBorder="1" applyAlignment="1" applyProtection="1">
      <alignment vertical="center"/>
      <protection hidden="1"/>
    </xf>
    <xf numFmtId="0" fontId="33" fillId="0" borderId="0" xfId="6" applyFont="1" applyBorder="1" applyAlignment="1" applyProtection="1">
      <alignment horizontal="center" vertical="center"/>
      <protection hidden="1"/>
    </xf>
    <xf numFmtId="0" fontId="33" fillId="0" borderId="0" xfId="6" applyFont="1" applyFill="1" applyBorder="1" applyAlignment="1" applyProtection="1">
      <alignment horizontal="center" vertical="center"/>
      <protection hidden="1"/>
    </xf>
    <xf numFmtId="0" fontId="29" fillId="0" borderId="11" xfId="0" applyFont="1" applyBorder="1" applyAlignment="1">
      <alignment horizontal="center" vertical="center" wrapText="1"/>
    </xf>
    <xf numFmtId="0" fontId="23" fillId="0" borderId="10" xfId="0" applyFont="1" applyBorder="1" applyAlignment="1">
      <alignment horizontal="left" vertical="center" wrapText="1" indent="1"/>
    </xf>
    <xf numFmtId="0" fontId="23" fillId="0" borderId="0" xfId="0" applyFont="1" applyBorder="1" applyAlignment="1">
      <alignment horizontal="left" vertical="center" wrapText="1" indent="1"/>
    </xf>
    <xf numFmtId="0" fontId="23" fillId="0" borderId="0" xfId="0" applyFont="1" applyBorder="1" applyAlignment="1">
      <alignment vertical="center" wrapText="1"/>
    </xf>
    <xf numFmtId="0" fontId="38" fillId="0" borderId="0" xfId="4" applyFont="1" applyFill="1" applyBorder="1" applyAlignment="1">
      <alignment horizontal="left" vertical="center"/>
    </xf>
    <xf numFmtId="0" fontId="60" fillId="0" borderId="0" xfId="26" applyNumberFormat="1" applyFont="1" applyFill="1" applyBorder="1" applyAlignment="1" applyProtection="1">
      <alignment horizontal="left" vertical="center"/>
    </xf>
    <xf numFmtId="0" fontId="28" fillId="0" borderId="0" xfId="27" applyNumberFormat="1" applyFont="1" applyFill="1" applyBorder="1" applyAlignment="1" applyProtection="1">
      <alignment horizontal="left" vertical="center"/>
    </xf>
    <xf numFmtId="0" fontId="38" fillId="0" borderId="0" xfId="0" applyFont="1" applyBorder="1"/>
    <xf numFmtId="0" fontId="51" fillId="0" borderId="0" xfId="0" applyFont="1" applyBorder="1"/>
    <xf numFmtId="0" fontId="51" fillId="0" borderId="0" xfId="0" applyFont="1" applyBorder="1" applyAlignment="1">
      <alignment horizontal="left"/>
    </xf>
    <xf numFmtId="0" fontId="38" fillId="0" borderId="0" xfId="0" applyFont="1" applyBorder="1" applyAlignment="1">
      <alignment horizontal="left"/>
    </xf>
    <xf numFmtId="0" fontId="34" fillId="0" borderId="0" xfId="22" applyFont="1" applyBorder="1" applyAlignment="1">
      <alignment vertical="center"/>
    </xf>
    <xf numFmtId="0" fontId="11" fillId="0" borderId="0" xfId="17" applyFont="1"/>
    <xf numFmtId="0" fontId="42" fillId="0" borderId="12" xfId="17" applyFont="1" applyBorder="1"/>
    <xf numFmtId="0" fontId="42" fillId="0" borderId="0" xfId="17" applyFont="1"/>
    <xf numFmtId="0" fontId="68" fillId="0" borderId="14" xfId="17" applyFont="1" applyBorder="1" applyAlignment="1">
      <alignment horizontal="right"/>
    </xf>
    <xf numFmtId="0" fontId="60" fillId="0" borderId="14" xfId="28" applyFont="1" applyBorder="1" applyAlignment="1">
      <alignment horizontal="center"/>
    </xf>
    <xf numFmtId="0" fontId="60" fillId="0" borderId="4" xfId="28" applyFont="1" applyBorder="1" applyAlignment="1">
      <alignment horizontal="center"/>
    </xf>
    <xf numFmtId="0" fontId="69" fillId="0" borderId="0" xfId="17" applyFont="1"/>
    <xf numFmtId="0" fontId="42" fillId="0" borderId="14" xfId="17" applyFont="1" applyBorder="1" applyAlignment="1">
      <alignment horizontal="right"/>
    </xf>
    <xf numFmtId="0" fontId="42" fillId="0" borderId="5" xfId="20" applyFont="1" applyFill="1" applyBorder="1" applyAlignment="1">
      <alignment horizontal="center"/>
    </xf>
    <xf numFmtId="0" fontId="42" fillId="0" borderId="0" xfId="20" applyFont="1" applyFill="1" applyAlignment="1">
      <alignment horizontal="center"/>
    </xf>
    <xf numFmtId="0" fontId="42" fillId="0" borderId="15" xfId="17" applyFont="1" applyBorder="1" applyAlignment="1">
      <alignment horizontal="right"/>
    </xf>
    <xf numFmtId="165" fontId="42" fillId="0" borderId="0" xfId="21" applyNumberFormat="1" applyFont="1" applyAlignment="1">
      <alignment horizontal="center"/>
    </xf>
    <xf numFmtId="0" fontId="60" fillId="0" borderId="12" xfId="28" applyFont="1" applyBorder="1" applyAlignment="1">
      <alignment horizontal="left"/>
    </xf>
    <xf numFmtId="0" fontId="70" fillId="0" borderId="2" xfId="17" applyFont="1" applyBorder="1" applyAlignment="1">
      <alignment horizontal="center"/>
    </xf>
    <xf numFmtId="1" fontId="70" fillId="0" borderId="3" xfId="17" applyNumberFormat="1" applyFont="1" applyBorder="1" applyAlignment="1">
      <alignment horizontal="center"/>
    </xf>
    <xf numFmtId="0" fontId="70" fillId="0" borderId="0" xfId="17" applyFont="1" applyAlignment="1">
      <alignment horizontal="center"/>
    </xf>
    <xf numFmtId="2" fontId="42" fillId="0" borderId="5" xfId="20" applyNumberFormat="1" applyFont="1" applyFill="1" applyBorder="1" applyAlignment="1">
      <alignment horizontal="center"/>
    </xf>
    <xf numFmtId="2" fontId="42" fillId="0" borderId="0" xfId="17" applyNumberFormat="1" applyFont="1" applyAlignment="1">
      <alignment horizontal="center"/>
    </xf>
    <xf numFmtId="165" fontId="42" fillId="0" borderId="0" xfId="20" applyNumberFormat="1" applyFont="1" applyFill="1" applyAlignment="1">
      <alignment horizontal="center"/>
    </xf>
    <xf numFmtId="166" fontId="42" fillId="0" borderId="0" xfId="17" applyNumberFormat="1" applyFont="1" applyAlignment="1">
      <alignment horizontal="center"/>
    </xf>
    <xf numFmtId="0" fontId="42" fillId="0" borderId="13" xfId="17" applyFont="1" applyBorder="1" applyAlignment="1">
      <alignment horizontal="right"/>
    </xf>
    <xf numFmtId="165" fontId="42" fillId="0" borderId="10" xfId="20" applyNumberFormat="1" applyFont="1" applyFill="1" applyBorder="1" applyAlignment="1">
      <alignment horizontal="center"/>
    </xf>
    <xf numFmtId="165" fontId="42" fillId="0" borderId="10" xfId="20" quotePrefix="1" applyNumberFormat="1" applyFont="1" applyFill="1" applyBorder="1" applyAlignment="1">
      <alignment horizontal="center"/>
    </xf>
    <xf numFmtId="165" fontId="42" fillId="0" borderId="11" xfId="20" quotePrefix="1" applyNumberFormat="1" applyFont="1" applyFill="1" applyBorder="1" applyAlignment="1">
      <alignment horizontal="center"/>
    </xf>
    <xf numFmtId="0" fontId="42" fillId="0" borderId="0" xfId="17" applyFont="1" applyAlignment="1">
      <alignment horizontal="center"/>
    </xf>
    <xf numFmtId="0" fontId="38" fillId="0" borderId="14" xfId="0" applyFont="1" applyBorder="1" applyAlignment="1">
      <alignment horizontal="right"/>
    </xf>
    <xf numFmtId="0" fontId="42" fillId="0" borderId="5" xfId="20" applyFont="1" applyFill="1" applyBorder="1" applyAlignment="1">
      <alignment horizontal="center" vertical="center"/>
    </xf>
    <xf numFmtId="0" fontId="38" fillId="0" borderId="5" xfId="0" applyFont="1" applyBorder="1" applyAlignment="1">
      <alignment horizontal="center" vertical="center"/>
    </xf>
    <xf numFmtId="0" fontId="38" fillId="0" borderId="15" xfId="0" applyFont="1" applyBorder="1" applyAlignment="1">
      <alignment horizontal="right"/>
    </xf>
    <xf numFmtId="0" fontId="42" fillId="0" borderId="0" xfId="20" applyFont="1" applyFill="1" applyAlignment="1">
      <alignment horizontal="center" vertical="center"/>
    </xf>
    <xf numFmtId="0" fontId="38" fillId="0" borderId="0" xfId="0" applyFont="1" applyAlignment="1">
      <alignment horizontal="center" vertical="center"/>
    </xf>
    <xf numFmtId="0" fontId="42" fillId="0" borderId="73" xfId="17" applyFont="1" applyBorder="1" applyAlignment="1">
      <alignment horizontal="right" vertical="center"/>
    </xf>
    <xf numFmtId="0" fontId="42" fillId="0" borderId="65" xfId="20" applyFont="1" applyFill="1" applyBorder="1" applyAlignment="1">
      <alignment horizontal="center" vertical="center"/>
    </xf>
    <xf numFmtId="0" fontId="42" fillId="0" borderId="74" xfId="17" applyFont="1" applyBorder="1" applyAlignment="1">
      <alignment horizontal="right" vertical="center"/>
    </xf>
    <xf numFmtId="0" fontId="42" fillId="0" borderId="68" xfId="20" applyFont="1" applyFill="1" applyBorder="1" applyAlignment="1">
      <alignment horizontal="center" vertical="center"/>
    </xf>
    <xf numFmtId="0" fontId="42" fillId="0" borderId="15" xfId="17" applyFont="1" applyBorder="1" applyAlignment="1">
      <alignment horizontal="right" vertical="center"/>
    </xf>
    <xf numFmtId="0" fontId="38" fillId="0" borderId="73" xfId="0" applyFont="1" applyBorder="1" applyAlignment="1">
      <alignment horizontal="right"/>
    </xf>
    <xf numFmtId="0" fontId="38" fillId="0" borderId="65" xfId="0" applyFont="1" applyBorder="1" applyAlignment="1">
      <alignment horizontal="center" vertical="center"/>
    </xf>
    <xf numFmtId="0" fontId="42" fillId="0" borderId="0" xfId="17" applyFont="1" applyAlignment="1">
      <alignment wrapText="1"/>
    </xf>
    <xf numFmtId="11" fontId="42" fillId="0" borderId="0" xfId="17" applyNumberFormat="1" applyFont="1"/>
    <xf numFmtId="0" fontId="42" fillId="0" borderId="0" xfId="17" applyFont="1" applyAlignment="1">
      <alignment horizontal="center" vertical="center"/>
    </xf>
    <xf numFmtId="0" fontId="42" fillId="0" borderId="13" xfId="17" applyFont="1" applyBorder="1" applyAlignment="1">
      <alignment horizontal="right" vertical="center"/>
    </xf>
    <xf numFmtId="0" fontId="42" fillId="0" borderId="10" xfId="20" applyFont="1" applyFill="1" applyBorder="1" applyAlignment="1">
      <alignment horizontal="center" vertical="center"/>
    </xf>
    <xf numFmtId="0" fontId="47" fillId="0" borderId="0" xfId="17" applyFont="1"/>
    <xf numFmtId="0" fontId="71" fillId="0" borderId="12" xfId="17" applyFont="1" applyBorder="1" applyAlignment="1">
      <alignment horizontal="center" wrapText="1"/>
    </xf>
    <xf numFmtId="0" fontId="42" fillId="0" borderId="12" xfId="20" applyFont="1" applyFill="1" applyBorder="1" applyAlignment="1">
      <alignment horizontal="center" wrapText="1"/>
    </xf>
    <xf numFmtId="0" fontId="66" fillId="0" borderId="12" xfId="20" applyFont="1" applyFill="1" applyBorder="1" applyAlignment="1">
      <alignment horizontal="center" wrapText="1"/>
    </xf>
    <xf numFmtId="49" fontId="74" fillId="0" borderId="13" xfId="23" applyNumberFormat="1" applyFont="1" applyBorder="1"/>
    <xf numFmtId="0" fontId="42" fillId="0" borderId="13" xfId="17" applyFont="1" applyBorder="1"/>
    <xf numFmtId="11" fontId="42" fillId="0" borderId="13" xfId="17" applyNumberFormat="1" applyFont="1" applyBorder="1"/>
    <xf numFmtId="0" fontId="42" fillId="0" borderId="11" xfId="17" applyFont="1" applyBorder="1" applyAlignment="1">
      <alignment wrapText="1"/>
    </xf>
    <xf numFmtId="0" fontId="42" fillId="0" borderId="13" xfId="17" quotePrefix="1" applyFont="1" applyBorder="1"/>
    <xf numFmtId="49" fontId="74" fillId="0" borderId="12" xfId="23" applyNumberFormat="1" applyFont="1" applyBorder="1"/>
    <xf numFmtId="11" fontId="42" fillId="0" borderId="12" xfId="17" applyNumberFormat="1" applyFont="1" applyBorder="1"/>
    <xf numFmtId="0" fontId="9" fillId="0" borderId="0" xfId="0" applyFont="1"/>
    <xf numFmtId="0" fontId="22" fillId="0" borderId="0" xfId="0" applyFont="1"/>
    <xf numFmtId="0" fontId="29" fillId="2" borderId="13" xfId="9" applyFont="1" applyBorder="1" applyAlignment="1">
      <alignment horizontal="center" vertical="center"/>
    </xf>
    <xf numFmtId="0" fontId="23" fillId="2" borderId="12" xfId="9" applyFont="1" applyBorder="1" applyAlignment="1">
      <alignment horizontal="center" vertical="center" wrapText="1"/>
    </xf>
    <xf numFmtId="0" fontId="23" fillId="0" borderId="0" xfId="0" applyFont="1" applyAlignment="1">
      <alignment horizontal="right"/>
    </xf>
    <xf numFmtId="1" fontId="23" fillId="3" borderId="12" xfId="10" applyNumberFormat="1" applyFont="1" applyBorder="1" applyAlignment="1">
      <alignment horizontal="center" vertical="center" wrapText="1"/>
    </xf>
    <xf numFmtId="170" fontId="23" fillId="3" borderId="12" xfId="10" applyNumberFormat="1" applyFont="1" applyBorder="1" applyAlignment="1">
      <alignment horizontal="center" vertical="center" wrapText="1"/>
    </xf>
    <xf numFmtId="168" fontId="23" fillId="0" borderId="0" xfId="0" applyNumberFormat="1" applyFont="1"/>
    <xf numFmtId="0" fontId="14" fillId="0" borderId="26" xfId="17" applyBorder="1" applyAlignment="1">
      <alignment horizontal="center"/>
    </xf>
    <xf numFmtId="0" fontId="14" fillId="0" borderId="25" xfId="17" applyBorder="1" applyAlignment="1">
      <alignment horizontal="center"/>
    </xf>
    <xf numFmtId="0" fontId="14" fillId="0" borderId="17" xfId="17" applyBorder="1" applyAlignment="1">
      <alignment horizontal="center"/>
    </xf>
    <xf numFmtId="0" fontId="14" fillId="0" borderId="17" xfId="11" applyFont="1" applyFill="1" applyBorder="1" applyAlignment="1">
      <alignment horizontal="center"/>
    </xf>
    <xf numFmtId="0" fontId="14" fillId="0" borderId="18" xfId="11" applyFont="1" applyFill="1" applyBorder="1" applyAlignment="1">
      <alignment horizontal="center"/>
    </xf>
    <xf numFmtId="0" fontId="22" fillId="0" borderId="41" xfId="0" applyFont="1" applyBorder="1"/>
    <xf numFmtId="0" fontId="42" fillId="0" borderId="27" xfId="17" applyFont="1" applyBorder="1" applyAlignment="1">
      <alignment wrapText="1"/>
    </xf>
    <xf numFmtId="0" fontId="38" fillId="0" borderId="15" xfId="0" applyFont="1" applyBorder="1"/>
    <xf numFmtId="0" fontId="42" fillId="0" borderId="8" xfId="17" applyFont="1" applyBorder="1" applyAlignment="1">
      <alignment horizontal="center" wrapText="1"/>
    </xf>
    <xf numFmtId="0" fontId="42" fillId="0" borderId="15" xfId="17" applyFont="1" applyBorder="1" applyAlignment="1">
      <alignment horizontal="center" wrapText="1"/>
    </xf>
    <xf numFmtId="0" fontId="42" fillId="0" borderId="8" xfId="11" applyFont="1" applyFill="1" applyBorder="1" applyAlignment="1">
      <alignment horizontal="center" wrapText="1"/>
    </xf>
    <xf numFmtId="0" fontId="42" fillId="0" borderId="31" xfId="11" applyFont="1" applyFill="1" applyBorder="1" applyAlignment="1">
      <alignment horizontal="center" wrapText="1"/>
    </xf>
    <xf numFmtId="0" fontId="38" fillId="0" borderId="0" xfId="0" applyFont="1"/>
    <xf numFmtId="0" fontId="44" fillId="0" borderId="27" xfId="17" applyFont="1" applyBorder="1" applyAlignment="1">
      <alignment wrapText="1"/>
    </xf>
    <xf numFmtId="0" fontId="22" fillId="0" borderId="15" xfId="0" applyFont="1" applyBorder="1"/>
    <xf numFmtId="0" fontId="23" fillId="0" borderId="14" xfId="0" applyFont="1" applyBorder="1" applyAlignment="1">
      <alignment horizontal="center"/>
    </xf>
    <xf numFmtId="0" fontId="23" fillId="3" borderId="14" xfId="10" applyFont="1" applyBorder="1" applyAlignment="1">
      <alignment horizontal="center" vertical="center"/>
    </xf>
    <xf numFmtId="0" fontId="42" fillId="0" borderId="14" xfId="17" applyFont="1" applyBorder="1" applyAlignment="1">
      <alignment horizontal="center" wrapText="1"/>
    </xf>
    <xf numFmtId="0" fontId="26" fillId="0" borderId="35" xfId="8" applyFont="1" applyBorder="1">
      <alignment vertical="center"/>
    </xf>
    <xf numFmtId="0" fontId="22" fillId="0" borderId="36" xfId="0" applyFont="1" applyBorder="1"/>
    <xf numFmtId="0" fontId="42" fillId="0" borderId="36" xfId="17" applyFont="1" applyBorder="1" applyAlignment="1">
      <alignment horizontal="center"/>
    </xf>
    <xf numFmtId="0" fontId="22" fillId="0" borderId="36" xfId="0" applyFont="1" applyBorder="1" applyAlignment="1">
      <alignment horizontal="center"/>
    </xf>
    <xf numFmtId="0" fontId="23" fillId="0" borderId="36" xfId="4" applyFont="1" applyBorder="1" applyAlignment="1">
      <alignment horizontal="center" vertical="center"/>
    </xf>
    <xf numFmtId="0" fontId="42" fillId="0" borderId="36" xfId="17" applyFont="1" applyBorder="1" applyAlignment="1">
      <alignment horizontal="center" wrapText="1"/>
    </xf>
    <xf numFmtId="0" fontId="42" fillId="0" borderId="36" xfId="11" applyFont="1" applyFill="1" applyBorder="1" applyAlignment="1">
      <alignment horizontal="center" wrapText="1"/>
    </xf>
    <xf numFmtId="0" fontId="23" fillId="0" borderId="39" xfId="4" applyFont="1" applyBorder="1" applyAlignment="1">
      <alignment horizontal="right" vertical="center"/>
    </xf>
    <xf numFmtId="0" fontId="38" fillId="0" borderId="47" xfId="4" applyFont="1" applyBorder="1" applyAlignment="1">
      <alignment horizontal="center" vertical="center"/>
    </xf>
    <xf numFmtId="0" fontId="14" fillId="0" borderId="27" xfId="17" applyBorder="1" applyAlignment="1">
      <alignment horizontal="right" vertical="center"/>
    </xf>
    <xf numFmtId="1" fontId="14" fillId="0" borderId="0" xfId="15" applyNumberFormat="1" applyFont="1" applyAlignment="1">
      <alignment horizontal="center"/>
    </xf>
    <xf numFmtId="3" fontId="14" fillId="0" borderId="0" xfId="17" applyNumberFormat="1" applyAlignment="1">
      <alignment horizontal="right"/>
    </xf>
    <xf numFmtId="1" fontId="14" fillId="0" borderId="0" xfId="17" applyNumberFormat="1" applyAlignment="1">
      <alignment horizontal="center"/>
    </xf>
    <xf numFmtId="165" fontId="23" fillId="3" borderId="13" xfId="4" applyNumberFormat="1" applyFont="1" applyFill="1" applyBorder="1" applyAlignment="1">
      <alignment horizontal="center" vertical="center"/>
    </xf>
    <xf numFmtId="2" fontId="30" fillId="4" borderId="13" xfId="11" applyNumberFormat="1" applyFont="1" applyBorder="1" applyAlignment="1">
      <alignment horizontal="center"/>
    </xf>
    <xf numFmtId="2" fontId="30" fillId="4" borderId="28" xfId="11" applyNumberFormat="1" applyFont="1" applyBorder="1" applyAlignment="1">
      <alignment horizontal="center"/>
    </xf>
    <xf numFmtId="167" fontId="66" fillId="5" borderId="45" xfId="12" applyNumberFormat="1" applyFont="1" applyBorder="1" applyAlignment="1">
      <alignment horizontal="center" vertical="center"/>
    </xf>
    <xf numFmtId="2" fontId="30" fillId="4" borderId="12" xfId="11" applyNumberFormat="1" applyFont="1" applyBorder="1" applyAlignment="1">
      <alignment horizontal="center"/>
    </xf>
    <xf numFmtId="167" fontId="66" fillId="5" borderId="42" xfId="12" applyNumberFormat="1" applyFont="1" applyBorder="1" applyAlignment="1">
      <alignment horizontal="center" vertical="center"/>
    </xf>
    <xf numFmtId="167" fontId="66" fillId="0" borderId="42" xfId="12" applyNumberFormat="1" applyFont="1" applyFill="1" applyBorder="1" applyAlignment="1">
      <alignment horizontal="center" vertical="center"/>
    </xf>
    <xf numFmtId="0" fontId="14" fillId="0" borderId="29" xfId="17" applyBorder="1" applyAlignment="1">
      <alignment horizontal="right" vertical="center"/>
    </xf>
    <xf numFmtId="0" fontId="22" fillId="0" borderId="20" xfId="0" applyFont="1" applyBorder="1"/>
    <xf numFmtId="1" fontId="14" fillId="0" borderId="20" xfId="15" applyNumberFormat="1" applyFont="1" applyBorder="1" applyAlignment="1">
      <alignment horizontal="center"/>
    </xf>
    <xf numFmtId="3" fontId="14" fillId="0" borderId="20" xfId="17" applyNumberFormat="1" applyBorder="1" applyAlignment="1">
      <alignment horizontal="right"/>
    </xf>
    <xf numFmtId="1" fontId="14" fillId="0" borderId="20" xfId="17" applyNumberFormat="1" applyBorder="1" applyAlignment="1">
      <alignment horizontal="center"/>
    </xf>
    <xf numFmtId="0" fontId="23" fillId="3" borderId="13" xfId="4" applyFont="1" applyFill="1" applyBorder="1" applyAlignment="1">
      <alignment horizontal="center" vertical="center"/>
    </xf>
    <xf numFmtId="2" fontId="30" fillId="4" borderId="21" xfId="11" applyNumberFormat="1" applyFont="1" applyBorder="1" applyAlignment="1">
      <alignment horizontal="center"/>
    </xf>
    <xf numFmtId="2" fontId="30" fillId="4" borderId="22" xfId="11" applyNumberFormat="1" applyFont="1" applyBorder="1" applyAlignment="1">
      <alignment horizontal="center"/>
    </xf>
    <xf numFmtId="167" fontId="66" fillId="0" borderId="43" xfId="12" applyNumberFormat="1" applyFont="1" applyFill="1" applyBorder="1" applyAlignment="1">
      <alignment horizontal="center" vertical="center"/>
    </xf>
    <xf numFmtId="0" fontId="60" fillId="0" borderId="39" xfId="22" applyFont="1" applyBorder="1" applyAlignment="1">
      <alignment horizontal="right" vertical="center"/>
    </xf>
    <xf numFmtId="1" fontId="38" fillId="0" borderId="41" xfId="4" applyNumberFormat="1" applyFont="1" applyBorder="1" applyAlignment="1">
      <alignment horizontal="right" vertical="center"/>
    </xf>
    <xf numFmtId="0" fontId="14" fillId="0" borderId="27" xfId="17" applyBorder="1" applyAlignment="1">
      <alignment horizontal="right"/>
    </xf>
    <xf numFmtId="1" fontId="77" fillId="0" borderId="0" xfId="15" applyNumberFormat="1" applyFont="1" applyAlignment="1">
      <alignment horizontal="center"/>
    </xf>
    <xf numFmtId="1" fontId="66" fillId="0" borderId="44" xfId="11" applyNumberFormat="1" applyFont="1" applyFill="1" applyBorder="1" applyAlignment="1">
      <alignment horizontal="center" vertical="center"/>
    </xf>
    <xf numFmtId="0" fontId="54" fillId="0" borderId="0" xfId="0" applyFont="1"/>
    <xf numFmtId="165" fontId="30" fillId="4" borderId="12" xfId="11" applyNumberFormat="1" applyFont="1" applyBorder="1" applyAlignment="1">
      <alignment horizontal="center"/>
    </xf>
    <xf numFmtId="165" fontId="30" fillId="4" borderId="28" xfId="11" applyNumberFormat="1" applyFont="1" applyBorder="1" applyAlignment="1">
      <alignment horizontal="center"/>
    </xf>
    <xf numFmtId="1" fontId="66" fillId="0" borderId="45" xfId="11" applyNumberFormat="1" applyFont="1" applyFill="1" applyBorder="1" applyAlignment="1">
      <alignment horizontal="center" vertical="center"/>
    </xf>
    <xf numFmtId="0" fontId="22" fillId="0" borderId="23" xfId="0" applyFont="1" applyBorder="1"/>
    <xf numFmtId="0" fontId="22" fillId="0" borderId="24" xfId="0" applyFont="1" applyBorder="1"/>
    <xf numFmtId="0" fontId="14" fillId="0" borderId="24" xfId="17" applyBorder="1" applyAlignment="1">
      <alignment horizontal="right" vertical="center"/>
    </xf>
    <xf numFmtId="0" fontId="22" fillId="0" borderId="21" xfId="0" applyFont="1" applyBorder="1" applyAlignment="1">
      <alignment horizontal="center"/>
    </xf>
    <xf numFmtId="1" fontId="66" fillId="5" borderId="43" xfId="12" applyNumberFormat="1" applyFont="1" applyBorder="1" applyAlignment="1">
      <alignment horizontal="center" vertical="center"/>
    </xf>
    <xf numFmtId="0" fontId="38" fillId="0" borderId="63" xfId="0" applyFont="1" applyBorder="1" applyAlignment="1">
      <alignment horizontal="right"/>
    </xf>
    <xf numFmtId="0" fontId="22" fillId="0" borderId="0" xfId="0" applyFont="1" applyAlignment="1">
      <alignment horizontal="center"/>
    </xf>
    <xf numFmtId="0" fontId="38" fillId="0" borderId="27" xfId="0" applyFont="1" applyBorder="1" applyAlignment="1">
      <alignment horizontal="right"/>
    </xf>
    <xf numFmtId="0" fontId="42" fillId="0" borderId="27" xfId="17" applyFont="1" applyBorder="1" applyAlignment="1">
      <alignment horizontal="right" vertical="center"/>
    </xf>
    <xf numFmtId="165" fontId="29" fillId="4" borderId="21" xfId="11" applyNumberFormat="1" applyFont="1" applyBorder="1" applyAlignment="1">
      <alignment horizontal="center"/>
    </xf>
    <xf numFmtId="165" fontId="29" fillId="4" borderId="22" xfId="11" applyNumberFormat="1" applyFont="1" applyBorder="1" applyAlignment="1">
      <alignment horizontal="center"/>
    </xf>
    <xf numFmtId="0" fontId="42" fillId="0" borderId="0" xfId="17" quotePrefix="1" applyFont="1" applyAlignment="1">
      <alignment vertical="center" wrapText="1"/>
    </xf>
    <xf numFmtId="0" fontId="29" fillId="0" borderId="0" xfId="25" applyFont="1" applyFill="1" applyBorder="1" applyAlignment="1">
      <alignment horizontal="left" wrapText="1"/>
    </xf>
    <xf numFmtId="0" fontId="14" fillId="0" borderId="12" xfId="4" applyFont="1" applyBorder="1" applyAlignment="1">
      <alignment horizontal="center" vertical="center"/>
    </xf>
    <xf numFmtId="0" fontId="23" fillId="0" borderId="12" xfId="4" applyFont="1" applyFill="1" applyBorder="1" applyAlignment="1">
      <alignment horizontal="center" vertical="center"/>
    </xf>
    <xf numFmtId="0" fontId="23" fillId="0" borderId="1" xfId="4" applyFont="1" applyFill="1" applyBorder="1" applyAlignment="1">
      <alignment horizontal="center" vertical="center"/>
    </xf>
    <xf numFmtId="0" fontId="14" fillId="0" borderId="0" xfId="0" applyFont="1" applyBorder="1"/>
    <xf numFmtId="0" fontId="23" fillId="0" borderId="0" xfId="4" applyFont="1" applyFill="1" applyBorder="1" applyAlignment="1">
      <alignment horizontal="center" vertical="center"/>
    </xf>
    <xf numFmtId="0" fontId="14" fillId="0" borderId="0" xfId="4" applyFont="1" applyBorder="1" applyAlignment="1">
      <alignment horizontal="center" vertical="center"/>
    </xf>
    <xf numFmtId="0" fontId="23" fillId="0" borderId="0" xfId="4" applyFont="1" applyBorder="1" applyAlignment="1">
      <alignment horizontal="center" vertical="center" wrapText="1"/>
    </xf>
    <xf numFmtId="0" fontId="83" fillId="0" borderId="0" xfId="22" applyFont="1" applyFill="1" applyBorder="1" applyAlignment="1" applyProtection="1">
      <alignment horizontal="center" vertical="center" wrapText="1"/>
    </xf>
    <xf numFmtId="0" fontId="78" fillId="0" borderId="0" xfId="25" applyFont="1" applyBorder="1"/>
    <xf numFmtId="0" fontId="22" fillId="0" borderId="0" xfId="25" applyFont="1" applyBorder="1"/>
    <xf numFmtId="0" fontId="29" fillId="0" borderId="0" xfId="4" applyFont="1" applyFill="1" applyBorder="1" applyAlignment="1">
      <alignment vertical="center" wrapText="1"/>
    </xf>
    <xf numFmtId="0" fontId="78" fillId="0" borderId="0" xfId="0" applyFont="1" applyBorder="1"/>
    <xf numFmtId="0" fontId="22" fillId="0" borderId="0" xfId="0" applyFont="1" applyFill="1" applyBorder="1"/>
    <xf numFmtId="0" fontId="23" fillId="0" borderId="0" xfId="4" applyFont="1" applyFill="1" applyBorder="1" applyAlignment="1">
      <alignment vertical="center" wrapText="1"/>
    </xf>
    <xf numFmtId="0" fontId="29" fillId="0" borderId="0" xfId="4" applyFont="1" applyFill="1" applyBorder="1" applyAlignment="1">
      <alignment horizontal="left" vertical="center" wrapText="1"/>
    </xf>
    <xf numFmtId="0" fontId="84" fillId="0" borderId="0" xfId="0" applyFont="1" applyFill="1" applyBorder="1" applyAlignment="1">
      <alignment horizontal="left" vertical="center" indent="4"/>
    </xf>
    <xf numFmtId="0" fontId="37" fillId="0" borderId="0" xfId="1" applyFont="1" applyFill="1" applyBorder="1" applyAlignment="1" applyProtection="1">
      <alignment vertical="center" wrapText="1"/>
      <protection hidden="1"/>
    </xf>
    <xf numFmtId="0" fontId="23" fillId="0" borderId="0" xfId="0" applyFont="1" applyBorder="1" applyAlignment="1" applyProtection="1">
      <alignment horizontal="left" vertical="top"/>
      <protection hidden="1"/>
    </xf>
    <xf numFmtId="169" fontId="23" fillId="0" borderId="0" xfId="0" applyNumberFormat="1" applyFont="1" applyBorder="1" applyAlignment="1" applyProtection="1">
      <alignment horizontal="right" vertical="top"/>
      <protection hidden="1"/>
    </xf>
    <xf numFmtId="0" fontId="29" fillId="0" borderId="8" xfId="4" applyFont="1" applyBorder="1" applyAlignment="1" applyProtection="1">
      <alignment horizontal="center" vertical="center"/>
      <protection hidden="1"/>
    </xf>
    <xf numFmtId="0" fontId="29" fillId="0" borderId="11" xfId="4" applyFont="1" applyBorder="1" applyAlignment="1" applyProtection="1">
      <alignment horizontal="center" vertical="center"/>
      <protection hidden="1"/>
    </xf>
    <xf numFmtId="169" fontId="23" fillId="0" borderId="0" xfId="0" applyNumberFormat="1" applyFont="1" applyBorder="1" applyAlignment="1" applyProtection="1">
      <alignment vertical="top"/>
      <protection hidden="1"/>
    </xf>
    <xf numFmtId="0" fontId="23" fillId="0" borderId="0" xfId="8" applyFont="1" applyBorder="1" applyAlignment="1" applyProtection="1">
      <alignment vertical="center" wrapText="1"/>
      <protection hidden="1"/>
    </xf>
    <xf numFmtId="0" fontId="23" fillId="0" borderId="10" xfId="8" applyFont="1" applyBorder="1" applyAlignment="1" applyProtection="1">
      <alignment vertical="center" wrapText="1"/>
      <protection hidden="1"/>
    </xf>
    <xf numFmtId="3" fontId="23" fillId="2" borderId="12" xfId="9" applyNumberFormat="1" applyFont="1" applyBorder="1" applyAlignment="1" applyProtection="1">
      <alignment horizontal="center" vertical="center"/>
      <protection hidden="1"/>
    </xf>
    <xf numFmtId="3" fontId="23" fillId="0" borderId="12" xfId="9" applyNumberFormat="1" applyFont="1" applyFill="1" applyBorder="1" applyAlignment="1" applyProtection="1">
      <alignment horizontal="center" vertical="center"/>
      <protection hidden="1"/>
    </xf>
    <xf numFmtId="0" fontId="29" fillId="0" borderId="0" xfId="8" applyFont="1" applyBorder="1" applyAlignment="1" applyProtection="1">
      <alignment horizontal="left" vertical="center" wrapText="1"/>
      <protection hidden="1"/>
    </xf>
    <xf numFmtId="0" fontId="6" fillId="0" borderId="0" xfId="5" applyFont="1" applyBorder="1" applyAlignment="1" applyProtection="1">
      <alignment horizontal="left" vertical="center"/>
      <protection hidden="1"/>
    </xf>
    <xf numFmtId="0" fontId="0" fillId="0" borderId="0" xfId="0" applyBorder="1" applyAlignment="1" applyProtection="1">
      <alignment wrapText="1"/>
      <protection hidden="1"/>
    </xf>
    <xf numFmtId="0" fontId="29" fillId="0" borderId="15" xfId="4" applyFont="1" applyBorder="1" applyAlignment="1" applyProtection="1">
      <alignment horizontal="center" vertical="center"/>
      <protection hidden="1"/>
    </xf>
    <xf numFmtId="0" fontId="42" fillId="0" borderId="0" xfId="20" applyFont="1" applyFill="1" applyBorder="1" applyAlignment="1">
      <alignment horizontal="center"/>
    </xf>
    <xf numFmtId="0" fontId="23" fillId="0" borderId="0" xfId="4" applyFont="1" applyBorder="1" applyAlignment="1">
      <alignment horizontal="left" vertical="center"/>
    </xf>
    <xf numFmtId="0" fontId="60" fillId="0" borderId="0" xfId="26" applyFont="1" applyFill="1" applyBorder="1" applyAlignment="1">
      <alignment horizontal="left" vertical="center"/>
    </xf>
    <xf numFmtId="0" fontId="38" fillId="0" borderId="0" xfId="4" applyFont="1" applyBorder="1" applyAlignment="1">
      <alignment vertical="center"/>
    </xf>
    <xf numFmtId="0" fontId="23" fillId="0" borderId="0" xfId="0" applyFont="1" applyBorder="1" applyAlignment="1" applyProtection="1">
      <alignment horizontal="center"/>
      <protection hidden="1"/>
    </xf>
    <xf numFmtId="0" fontId="38" fillId="0" borderId="0" xfId="4" applyFont="1" applyBorder="1" applyAlignment="1">
      <alignment horizontal="left" vertical="center"/>
    </xf>
    <xf numFmtId="0" fontId="60" fillId="0" borderId="0" xfId="26" applyFont="1" applyBorder="1">
      <alignment vertical="center"/>
    </xf>
    <xf numFmtId="0" fontId="60" fillId="0" borderId="0" xfId="26" applyFont="1" applyFill="1" applyBorder="1" applyAlignment="1">
      <alignment horizontal="left" vertical="center"/>
    </xf>
    <xf numFmtId="0" fontId="26" fillId="0" borderId="10" xfId="8" applyFont="1" applyFill="1" applyBorder="1" applyAlignment="1" applyProtection="1">
      <alignment horizontal="left" vertical="center"/>
      <protection hidden="1"/>
    </xf>
    <xf numFmtId="0" fontId="26" fillId="0" borderId="0" xfId="8" applyFont="1" applyFill="1" applyBorder="1" applyAlignment="1" applyProtection="1">
      <alignment horizontal="left" vertical="center"/>
      <protection hidden="1"/>
    </xf>
    <xf numFmtId="0" fontId="14" fillId="0" borderId="0" xfId="0" applyFont="1" applyFill="1" applyBorder="1" applyAlignment="1" applyProtection="1">
      <alignment horizontal="center"/>
      <protection hidden="1"/>
    </xf>
    <xf numFmtId="0" fontId="26" fillId="8" borderId="0" xfId="29" applyFont="1" applyBorder="1" applyAlignment="1" applyProtection="1">
      <alignment horizontal="left"/>
      <protection locked="0" hidden="1"/>
    </xf>
    <xf numFmtId="0" fontId="89" fillId="8" borderId="0" xfId="29" applyFont="1" applyBorder="1" applyAlignment="1" applyProtection="1">
      <alignment horizontal="left"/>
      <protection locked="0" hidden="1"/>
    </xf>
    <xf numFmtId="0" fontId="64" fillId="0" borderId="0" xfId="1" applyFont="1" applyFill="1" applyBorder="1" applyAlignment="1" applyProtection="1">
      <alignment horizontal="left" vertical="top"/>
      <protection locked="0" hidden="1"/>
    </xf>
    <xf numFmtId="0" fontId="29" fillId="0" borderId="10" xfId="0" applyFont="1" applyBorder="1"/>
    <xf numFmtId="0" fontId="30" fillId="0" borderId="10" xfId="0" applyFont="1" applyBorder="1" applyAlignment="1">
      <alignment horizontal="center"/>
    </xf>
    <xf numFmtId="0" fontId="38" fillId="0" borderId="5" xfId="0" applyFont="1" applyBorder="1"/>
    <xf numFmtId="0" fontId="38" fillId="0" borderId="6" xfId="0" applyFont="1" applyBorder="1"/>
    <xf numFmtId="0" fontId="38" fillId="0" borderId="0" xfId="0" applyFont="1" applyAlignment="1">
      <alignment horizontal="center"/>
    </xf>
    <xf numFmtId="0" fontId="38" fillId="0" borderId="75" xfId="0" applyFont="1" applyBorder="1"/>
    <xf numFmtId="0" fontId="38" fillId="0" borderId="76" xfId="0" applyFont="1" applyBorder="1"/>
    <xf numFmtId="0" fontId="38" fillId="0" borderId="75" xfId="0" applyFont="1" applyBorder="1" applyAlignment="1">
      <alignment horizontal="center"/>
    </xf>
    <xf numFmtId="0" fontId="38" fillId="0" borderId="8" xfId="0" applyFont="1" applyBorder="1"/>
    <xf numFmtId="0" fontId="38" fillId="0" borderId="77" xfId="0" applyFont="1" applyBorder="1"/>
    <xf numFmtId="0" fontId="38" fillId="0" borderId="78" xfId="0" applyFont="1" applyBorder="1"/>
    <xf numFmtId="0" fontId="38" fillId="0" borderId="77" xfId="0" applyFont="1" applyBorder="1" applyAlignment="1">
      <alignment horizontal="center"/>
    </xf>
    <xf numFmtId="0" fontId="38" fillId="0" borderId="79" xfId="0" applyFont="1" applyBorder="1"/>
    <xf numFmtId="0" fontId="38" fillId="0" borderId="80" xfId="0" applyFont="1" applyBorder="1"/>
    <xf numFmtId="0" fontId="38" fillId="0" borderId="79" xfId="0" applyFont="1" applyBorder="1" applyAlignment="1">
      <alignment horizontal="center"/>
    </xf>
    <xf numFmtId="0" fontId="0" fillId="0" borderId="20" xfId="0" applyBorder="1" applyProtection="1">
      <protection hidden="1"/>
    </xf>
    <xf numFmtId="0" fontId="89" fillId="8" borderId="12" xfId="29" applyFont="1" applyBorder="1" applyAlignment="1" applyProtection="1">
      <alignment horizontal="center"/>
      <protection locked="0" hidden="1"/>
    </xf>
    <xf numFmtId="0" fontId="14" fillId="0" borderId="0" xfId="0" applyFont="1" applyProtection="1">
      <protection hidden="1"/>
    </xf>
    <xf numFmtId="0" fontId="14" fillId="0" borderId="0" xfId="0" applyFont="1" applyAlignment="1" applyProtection="1">
      <alignment horizontal="right"/>
      <protection hidden="1"/>
    </xf>
    <xf numFmtId="0" fontId="14" fillId="0" borderId="0" xfId="0" applyFont="1" applyAlignment="1" applyProtection="1">
      <alignment vertical="center"/>
      <protection hidden="1"/>
    </xf>
    <xf numFmtId="0" fontId="14" fillId="0" borderId="0" xfId="0" applyFont="1" applyAlignment="1" applyProtection="1">
      <alignment horizontal="right" vertical="center"/>
      <protection hidden="1"/>
    </xf>
    <xf numFmtId="0" fontId="14" fillId="0" borderId="7" xfId="0" applyFont="1" applyBorder="1" applyAlignment="1" applyProtection="1">
      <alignment horizontal="right"/>
      <protection hidden="1"/>
    </xf>
    <xf numFmtId="0" fontId="89" fillId="0" borderId="0" xfId="29" applyFont="1" applyFill="1" applyBorder="1" applyAlignment="1" applyProtection="1">
      <alignment horizontal="left"/>
      <protection locked="0" hidden="1"/>
    </xf>
    <xf numFmtId="0" fontId="23" fillId="0" borderId="0" xfId="29" applyFont="1" applyFill="1" applyBorder="1" applyAlignment="1" applyProtection="1">
      <alignment horizontal="left" vertical="top"/>
      <protection locked="0" hidden="1"/>
    </xf>
    <xf numFmtId="0" fontId="29" fillId="0" borderId="0" xfId="29" applyFont="1" applyFill="1" applyBorder="1" applyAlignment="1" applyProtection="1">
      <alignment horizontal="left"/>
      <protection locked="0" hidden="1"/>
    </xf>
    <xf numFmtId="0" fontId="29" fillId="0" borderId="10" xfId="0" applyFont="1" applyBorder="1" applyAlignment="1">
      <alignment horizontal="center"/>
    </xf>
    <xf numFmtId="0" fontId="30" fillId="0" borderId="10" xfId="0" applyFont="1" applyBorder="1" applyAlignment="1">
      <alignment vertical="center"/>
    </xf>
    <xf numFmtId="0" fontId="38" fillId="0" borderId="4" xfId="0" applyFont="1" applyBorder="1" applyAlignment="1">
      <alignment horizontal="center"/>
    </xf>
    <xf numFmtId="0" fontId="42" fillId="0" borderId="8" xfId="0" applyFont="1" applyBorder="1" applyAlignment="1">
      <alignment vertical="center"/>
    </xf>
    <xf numFmtId="0" fontId="42" fillId="0" borderId="15" xfId="0" applyFont="1" applyBorder="1" applyAlignment="1">
      <alignment vertical="center"/>
    </xf>
    <xf numFmtId="0" fontId="42" fillId="0" borderId="14" xfId="0" applyFont="1" applyBorder="1" applyAlignment="1">
      <alignment horizontal="center" vertical="center"/>
    </xf>
    <xf numFmtId="167" fontId="42" fillId="0" borderId="0" xfId="0" applyNumberFormat="1" applyFont="1" applyAlignment="1">
      <alignment horizontal="center" vertical="center"/>
    </xf>
    <xf numFmtId="0" fontId="38" fillId="0" borderId="7" xfId="0" applyFont="1" applyBorder="1" applyAlignment="1">
      <alignment horizontal="center"/>
    </xf>
    <xf numFmtId="0" fontId="42" fillId="0" borderId="15" xfId="0" applyFont="1" applyBorder="1" applyAlignment="1">
      <alignment horizontal="center" vertical="center"/>
    </xf>
    <xf numFmtId="167" fontId="42" fillId="0" borderId="0" xfId="0" quotePrefix="1" applyNumberFormat="1" applyFont="1" applyAlignment="1">
      <alignment horizontal="center" vertical="center"/>
    </xf>
    <xf numFmtId="0" fontId="38" fillId="0" borderId="81" xfId="0" applyFont="1" applyBorder="1" applyAlignment="1">
      <alignment horizontal="center"/>
    </xf>
    <xf numFmtId="0" fontId="38" fillId="0" borderId="82" xfId="0" applyFont="1" applyBorder="1" applyAlignment="1">
      <alignment horizontal="center"/>
    </xf>
    <xf numFmtId="0" fontId="14" fillId="0" borderId="20" xfId="0" applyFont="1" applyFill="1" applyBorder="1" applyAlignment="1" applyProtection="1">
      <alignment horizontal="center"/>
      <protection hidden="1"/>
    </xf>
    <xf numFmtId="0" fontId="38" fillId="0" borderId="20" xfId="0" applyFont="1" applyBorder="1"/>
    <xf numFmtId="0" fontId="38" fillId="0" borderId="20" xfId="0" applyFont="1" applyBorder="1" applyAlignment="1">
      <alignment horizontal="center"/>
    </xf>
    <xf numFmtId="0" fontId="23" fillId="0" borderId="20" xfId="0" applyFont="1" applyBorder="1" applyAlignment="1" applyProtection="1">
      <alignment horizontal="center"/>
      <protection hidden="1"/>
    </xf>
    <xf numFmtId="0" fontId="26" fillId="0" borderId="16" xfId="8" applyFont="1" applyFill="1" applyBorder="1" applyAlignment="1">
      <alignment horizontal="left" vertical="center"/>
    </xf>
    <xf numFmtId="0" fontId="14" fillId="4" borderId="13" xfId="11" applyFont="1" applyBorder="1" applyAlignment="1" applyProtection="1">
      <alignment horizontal="center" vertical="center" wrapText="1"/>
      <protection hidden="1"/>
    </xf>
    <xf numFmtId="0" fontId="30" fillId="0" borderId="0" xfId="11" applyFont="1" applyFill="1" applyBorder="1" applyAlignment="1" applyProtection="1">
      <alignment vertical="center" wrapText="1"/>
      <protection hidden="1"/>
    </xf>
    <xf numFmtId="0" fontId="30" fillId="0" borderId="10" xfId="11" applyFont="1" applyFill="1" applyBorder="1" applyAlignment="1" applyProtection="1">
      <alignment vertical="center" wrapText="1"/>
      <protection hidden="1"/>
    </xf>
    <xf numFmtId="0" fontId="25" fillId="0" borderId="0" xfId="4" applyFont="1" applyFill="1" applyBorder="1">
      <alignment vertical="center"/>
    </xf>
    <xf numFmtId="0" fontId="26" fillId="0" borderId="0" xfId="8" applyFont="1" applyAlignment="1">
      <alignment horizontal="left"/>
    </xf>
    <xf numFmtId="0" fontId="29" fillId="0" borderId="0" xfId="4" applyFont="1" applyAlignment="1">
      <alignment horizontal="right" vertical="center"/>
    </xf>
    <xf numFmtId="0" fontId="23" fillId="0" borderId="0" xfId="0" applyFont="1" applyAlignment="1">
      <alignment horizontal="right"/>
    </xf>
    <xf numFmtId="0" fontId="38" fillId="0" borderId="0" xfId="0" applyFont="1" applyAlignment="1">
      <alignment horizontal="left"/>
    </xf>
    <xf numFmtId="0" fontId="60" fillId="0" borderId="0" xfId="22" quotePrefix="1" applyFont="1">
      <alignment vertical="center"/>
    </xf>
    <xf numFmtId="0" fontId="23" fillId="0" borderId="0" xfId="0" applyFont="1" applyAlignment="1">
      <alignment horizontal="left"/>
    </xf>
    <xf numFmtId="0" fontId="11" fillId="0" borderId="20" xfId="17" applyFont="1" applyBorder="1"/>
    <xf numFmtId="0" fontId="66" fillId="0" borderId="13" xfId="17" applyFont="1" applyBorder="1" applyAlignment="1">
      <alignment horizontal="center" wrapText="1"/>
    </xf>
    <xf numFmtId="0" fontId="66" fillId="0" borderId="9" xfId="17" applyFont="1" applyBorder="1" applyAlignment="1">
      <alignment horizontal="center" wrapText="1"/>
    </xf>
    <xf numFmtId="0" fontId="66" fillId="0" borderId="0" xfId="17" applyFont="1" applyAlignment="1">
      <alignment horizontal="center" wrapText="1"/>
    </xf>
    <xf numFmtId="0" fontId="60" fillId="0" borderId="12" xfId="28" applyFont="1" applyBorder="1" applyAlignment="1">
      <alignment horizontal="center"/>
    </xf>
    <xf numFmtId="3" fontId="38" fillId="0" borderId="12" xfId="0" applyNumberFormat="1" applyFont="1" applyBorder="1" applyAlignment="1">
      <alignment horizontal="center"/>
    </xf>
    <xf numFmtId="3" fontId="0" fillId="0" borderId="0" xfId="0" applyNumberFormat="1" applyAlignment="1">
      <alignment horizontal="center"/>
    </xf>
    <xf numFmtId="0" fontId="38" fillId="0" borderId="5" xfId="0" applyFont="1" applyBorder="1" applyAlignment="1">
      <alignment horizontal="center"/>
    </xf>
    <xf numFmtId="165" fontId="38" fillId="0" borderId="6" xfId="0" applyNumberFormat="1" applyFont="1" applyBorder="1" applyAlignment="1">
      <alignment horizontal="center"/>
    </xf>
    <xf numFmtId="0" fontId="42" fillId="0" borderId="7" xfId="20" applyFont="1" applyFill="1" applyBorder="1" applyAlignment="1">
      <alignment horizontal="center"/>
    </xf>
    <xf numFmtId="165" fontId="38" fillId="0" borderId="8" xfId="0" applyNumberFormat="1" applyFont="1" applyBorder="1" applyAlignment="1">
      <alignment horizontal="center"/>
    </xf>
    <xf numFmtId="4" fontId="0" fillId="0" borderId="7" xfId="0" applyNumberFormat="1" applyBorder="1"/>
    <xf numFmtId="170" fontId="38" fillId="0" borderId="8" xfId="0" applyNumberFormat="1" applyFont="1" applyBorder="1" applyAlignment="1">
      <alignment horizontal="center"/>
    </xf>
    <xf numFmtId="2" fontId="38" fillId="0" borderId="8" xfId="0" applyNumberFormat="1" applyFont="1" applyBorder="1" applyAlignment="1">
      <alignment horizontal="center"/>
    </xf>
    <xf numFmtId="171" fontId="38" fillId="0" borderId="8" xfId="0" applyNumberFormat="1" applyFont="1" applyBorder="1" applyAlignment="1">
      <alignment horizontal="center"/>
    </xf>
    <xf numFmtId="1" fontId="70" fillId="0" borderId="2" xfId="17" applyNumberFormat="1" applyFont="1" applyBorder="1" applyAlignment="1">
      <alignment horizontal="center"/>
    </xf>
    <xf numFmtId="1" fontId="42" fillId="0" borderId="5" xfId="17" applyNumberFormat="1" applyFont="1" applyBorder="1" applyAlignment="1">
      <alignment horizontal="center"/>
    </xf>
    <xf numFmtId="2" fontId="42" fillId="0" borderId="8" xfId="17" applyNumberFormat="1" applyFont="1" applyBorder="1" applyAlignment="1">
      <alignment horizontal="center"/>
    </xf>
    <xf numFmtId="165" fontId="42" fillId="0" borderId="0" xfId="20" applyNumberFormat="1" applyFont="1" applyFill="1" applyBorder="1" applyAlignment="1">
      <alignment horizontal="center"/>
    </xf>
    <xf numFmtId="166" fontId="42" fillId="0" borderId="8" xfId="17" applyNumberFormat="1" applyFont="1" applyBorder="1" applyAlignment="1">
      <alignment horizontal="center"/>
    </xf>
    <xf numFmtId="0" fontId="68" fillId="0" borderId="12" xfId="17" applyFont="1" applyBorder="1" applyAlignment="1">
      <alignment horizontal="right"/>
    </xf>
    <xf numFmtId="0" fontId="70" fillId="0" borderId="12" xfId="17" applyFont="1" applyBorder="1" applyAlignment="1">
      <alignment horizontal="center"/>
    </xf>
    <xf numFmtId="0" fontId="42" fillId="0" borderId="12" xfId="17" applyFont="1" applyBorder="1" applyAlignment="1">
      <alignment horizontal="center"/>
    </xf>
    <xf numFmtId="166" fontId="38" fillId="0" borderId="6" xfId="0" applyNumberFormat="1" applyFont="1" applyBorder="1" applyAlignment="1">
      <alignment horizontal="center" vertical="center"/>
    </xf>
    <xf numFmtId="166" fontId="38" fillId="0" borderId="8" xfId="0" applyNumberFormat="1" applyFont="1" applyBorder="1" applyAlignment="1">
      <alignment horizontal="center" vertical="center"/>
    </xf>
    <xf numFmtId="172" fontId="38" fillId="0" borderId="8" xfId="0" applyNumberFormat="1" applyFont="1" applyBorder="1" applyAlignment="1">
      <alignment horizontal="center" vertical="center"/>
    </xf>
    <xf numFmtId="170" fontId="42" fillId="0" borderId="66" xfId="20" applyNumberFormat="1" applyFont="1" applyFill="1" applyBorder="1" applyAlignment="1">
      <alignment horizontal="center" vertical="center"/>
    </xf>
    <xf numFmtId="170" fontId="38" fillId="0" borderId="8" xfId="0" applyNumberFormat="1" applyFont="1" applyBorder="1" applyAlignment="1">
      <alignment horizontal="center" vertical="center"/>
    </xf>
    <xf numFmtId="0" fontId="42" fillId="0" borderId="0" xfId="20" applyFont="1" applyFill="1" applyBorder="1" applyAlignment="1">
      <alignment horizontal="center" vertical="center"/>
    </xf>
    <xf numFmtId="172" fontId="42" fillId="0" borderId="8" xfId="20" applyNumberFormat="1" applyFont="1" applyFill="1" applyBorder="1" applyAlignment="1">
      <alignment horizontal="center" vertical="center"/>
    </xf>
    <xf numFmtId="166" fontId="38" fillId="0" borderId="66" xfId="0" applyNumberFormat="1" applyFont="1" applyBorder="1" applyAlignment="1">
      <alignment horizontal="center" vertical="center"/>
    </xf>
    <xf numFmtId="166" fontId="42" fillId="0" borderId="69" xfId="20" applyNumberFormat="1" applyFont="1" applyFill="1" applyBorder="1" applyAlignment="1">
      <alignment horizontal="center" vertical="center"/>
    </xf>
    <xf numFmtId="166" fontId="42" fillId="0" borderId="8" xfId="20" applyNumberFormat="1" applyFont="1" applyFill="1" applyBorder="1" applyAlignment="1">
      <alignment horizontal="center" vertical="center"/>
    </xf>
    <xf numFmtId="165" fontId="38" fillId="0" borderId="8" xfId="0" applyNumberFormat="1" applyFont="1" applyBorder="1" applyAlignment="1">
      <alignment horizontal="center" vertical="center"/>
    </xf>
    <xf numFmtId="172" fontId="38" fillId="0" borderId="66" xfId="0" applyNumberFormat="1" applyFont="1" applyBorder="1" applyAlignment="1">
      <alignment horizontal="center" vertical="center"/>
    </xf>
    <xf numFmtId="170" fontId="42" fillId="0" borderId="69" xfId="20" applyNumberFormat="1" applyFont="1" applyFill="1" applyBorder="1" applyAlignment="1">
      <alignment horizontal="center" vertical="center"/>
    </xf>
    <xf numFmtId="173" fontId="42" fillId="0" borderId="8" xfId="17" applyNumberFormat="1" applyFont="1" applyBorder="1" applyAlignment="1">
      <alignment horizontal="center" vertical="center"/>
    </xf>
    <xf numFmtId="173" fontId="38" fillId="0" borderId="8" xfId="0" applyNumberFormat="1" applyFont="1" applyBorder="1" applyAlignment="1">
      <alignment horizontal="center" vertical="center"/>
    </xf>
    <xf numFmtId="166" fontId="42" fillId="0" borderId="11" xfId="20" applyNumberFormat="1" applyFont="1" applyFill="1" applyBorder="1" applyAlignment="1">
      <alignment horizontal="center" vertical="center"/>
    </xf>
    <xf numFmtId="0" fontId="64" fillId="0" borderId="0" xfId="28"/>
    <xf numFmtId="0" fontId="38" fillId="0" borderId="0" xfId="0" applyFont="1" applyAlignment="1">
      <alignment horizontal="right"/>
    </xf>
    <xf numFmtId="1" fontId="42" fillId="0" borderId="12" xfId="17" applyNumberFormat="1" applyFont="1" applyBorder="1"/>
    <xf numFmtId="10" fontId="11" fillId="0" borderId="0" xfId="17" applyNumberFormat="1" applyFont="1"/>
    <xf numFmtId="0" fontId="25" fillId="0" borderId="0" xfId="8" applyFont="1" applyAlignment="1">
      <alignment horizontal="left"/>
    </xf>
    <xf numFmtId="0" fontId="29" fillId="0" borderId="0" xfId="8" applyFont="1" applyAlignment="1">
      <alignment horizontal="left"/>
    </xf>
    <xf numFmtId="0" fontId="23" fillId="0" borderId="0" xfId="8" applyFont="1" applyAlignment="1">
      <alignment horizontal="left"/>
    </xf>
    <xf numFmtId="0" fontId="26" fillId="0" borderId="0" xfId="0" applyFont="1" applyAlignment="1">
      <alignment horizontal="left"/>
    </xf>
    <xf numFmtId="0" fontId="29" fillId="0" borderId="0" xfId="4" applyFont="1">
      <alignment vertical="center"/>
    </xf>
    <xf numFmtId="0" fontId="38" fillId="0" borderId="7" xfId="4" applyFont="1" applyBorder="1">
      <alignment vertical="center"/>
    </xf>
    <xf numFmtId="0" fontId="38" fillId="0" borderId="0" xfId="4" applyFont="1">
      <alignment vertical="center"/>
    </xf>
    <xf numFmtId="0" fontId="22" fillId="0" borderId="16" xfId="0" applyFont="1" applyBorder="1"/>
    <xf numFmtId="0" fontId="42" fillId="0" borderId="0" xfId="17" quotePrefix="1" applyFont="1"/>
    <xf numFmtId="0" fontId="42" fillId="0" borderId="0" xfId="17" quotePrefix="1" applyFont="1" applyAlignment="1">
      <alignment vertical="center"/>
    </xf>
    <xf numFmtId="0" fontId="26" fillId="0" borderId="0" xfId="4" applyFont="1">
      <alignment vertical="center"/>
    </xf>
    <xf numFmtId="0" fontId="14" fillId="0" borderId="0" xfId="4" applyFont="1">
      <alignment vertical="center"/>
    </xf>
    <xf numFmtId="0" fontId="36" fillId="0" borderId="0" xfId="17" applyFont="1"/>
    <xf numFmtId="0" fontId="52" fillId="0" borderId="0" xfId="0" applyFont="1" applyAlignment="1">
      <alignment horizontal="left" wrapText="1"/>
    </xf>
    <xf numFmtId="0" fontId="14" fillId="0" borderId="0" xfId="17" applyAlignment="1">
      <alignment horizontal="left"/>
    </xf>
    <xf numFmtId="0" fontId="52" fillId="0" borderId="0" xfId="0" applyFont="1" applyAlignment="1">
      <alignment horizontal="left"/>
    </xf>
    <xf numFmtId="2" fontId="23" fillId="0" borderId="5" xfId="4" applyNumberFormat="1" applyFont="1" applyFill="1" applyBorder="1" applyAlignment="1" applyProtection="1">
      <alignment horizontal="center"/>
    </xf>
    <xf numFmtId="2" fontId="23" fillId="0" borderId="0" xfId="4" applyNumberFormat="1" applyFont="1" applyFill="1" applyBorder="1" applyAlignment="1" applyProtection="1">
      <alignment horizontal="center"/>
    </xf>
    <xf numFmtId="2" fontId="23" fillId="0" borderId="65" xfId="4" applyNumberFormat="1" applyFont="1" applyFill="1" applyBorder="1" applyAlignment="1" applyProtection="1">
      <alignment horizontal="center"/>
    </xf>
    <xf numFmtId="2" fontId="23" fillId="0" borderId="68" xfId="4" applyNumberFormat="1" applyFont="1" applyFill="1" applyBorder="1" applyAlignment="1" applyProtection="1">
      <alignment horizontal="center"/>
    </xf>
    <xf numFmtId="2" fontId="23" fillId="0" borderId="10" xfId="0" applyNumberFormat="1" applyFont="1" applyBorder="1" applyAlignment="1">
      <alignment horizontal="center"/>
    </xf>
    <xf numFmtId="2" fontId="23" fillId="0" borderId="8" xfId="0" applyNumberFormat="1" applyFont="1" applyBorder="1" applyAlignment="1">
      <alignment horizontal="center"/>
    </xf>
    <xf numFmtId="0" fontId="63" fillId="0" borderId="20" xfId="17" applyFont="1" applyBorder="1" applyAlignment="1"/>
    <xf numFmtId="0" fontId="52" fillId="0" borderId="0" xfId="0" applyFont="1"/>
    <xf numFmtId="0" fontId="64" fillId="0" borderId="0" xfId="6" applyFont="1" applyBorder="1">
      <alignment vertical="center"/>
    </xf>
    <xf numFmtId="0" fontId="23" fillId="0" borderId="0" xfId="4" applyFont="1" applyBorder="1" applyAlignment="1">
      <alignment horizontal="left" vertical="center"/>
    </xf>
    <xf numFmtId="0" fontId="23" fillId="0" borderId="0" xfId="0" applyFont="1" applyAlignment="1"/>
    <xf numFmtId="0" fontId="23" fillId="0" borderId="0" xfId="4" applyFont="1" applyBorder="1" applyAlignment="1">
      <alignment vertical="center" wrapText="1"/>
    </xf>
    <xf numFmtId="0" fontId="23" fillId="0" borderId="0" xfId="4" applyFont="1" applyBorder="1" applyAlignment="1">
      <alignment horizontal="left" vertical="center" wrapText="1"/>
    </xf>
    <xf numFmtId="0" fontId="23" fillId="0" borderId="0" xfId="0" applyFont="1" applyBorder="1" applyAlignment="1">
      <alignment horizontal="left"/>
    </xf>
    <xf numFmtId="0" fontId="64" fillId="0" borderId="0" xfId="1" applyFont="1"/>
    <xf numFmtId="0" fontId="87" fillId="0" borderId="0" xfId="0" applyFont="1"/>
    <xf numFmtId="0" fontId="6" fillId="0" borderId="10" xfId="7" applyBorder="1" applyAlignment="1">
      <alignment horizontal="left" vertical="center"/>
    </xf>
    <xf numFmtId="0" fontId="59" fillId="0" borderId="0" xfId="2" applyFont="1" applyAlignment="1">
      <alignment horizontal="right" vertical="center" wrapText="1"/>
    </xf>
    <xf numFmtId="0" fontId="52" fillId="0" borderId="0" xfId="0" applyFont="1" applyBorder="1" applyAlignment="1">
      <alignment horizontal="right" vertical="center"/>
    </xf>
    <xf numFmtId="0" fontId="0" fillId="0" borderId="0" xfId="0" applyAlignment="1">
      <alignment horizontal="center"/>
    </xf>
    <xf numFmtId="0" fontId="23" fillId="0" borderId="5" xfId="4" applyFont="1" applyFill="1" applyBorder="1" applyAlignment="1">
      <alignment horizontal="left" vertical="center"/>
    </xf>
    <xf numFmtId="0" fontId="14" fillId="0" borderId="0" xfId="4" applyFont="1" applyBorder="1" applyAlignment="1">
      <alignment horizontal="left" vertical="center" wrapText="1"/>
    </xf>
    <xf numFmtId="0" fontId="14" fillId="0" borderId="0" xfId="4" applyFont="1" applyBorder="1" applyAlignment="1">
      <alignment horizontal="left" vertical="center"/>
    </xf>
    <xf numFmtId="0" fontId="23" fillId="0" borderId="0" xfId="0" applyFont="1" applyBorder="1" applyAlignment="1" applyProtection="1">
      <alignment horizontal="center" vertical="center" wrapText="1"/>
      <protection hidden="1"/>
    </xf>
    <xf numFmtId="0" fontId="23" fillId="0" borderId="0" xfId="0" applyFont="1" applyBorder="1" applyAlignment="1" applyProtection="1">
      <alignment horizontal="left" wrapText="1"/>
      <protection hidden="1"/>
    </xf>
    <xf numFmtId="0" fontId="6" fillId="0" borderId="16" xfId="5" applyFont="1" applyBorder="1" applyAlignment="1">
      <alignment horizontal="center" vertical="center"/>
    </xf>
    <xf numFmtId="0" fontId="14" fillId="0" borderId="0" xfId="0" applyFont="1" applyBorder="1" applyAlignment="1" applyProtection="1">
      <alignment horizontal="left" vertical="top" wrapText="1"/>
      <protection hidden="1"/>
    </xf>
    <xf numFmtId="0" fontId="23" fillId="0" borderId="0" xfId="0" applyFont="1" applyBorder="1" applyAlignment="1" applyProtection="1">
      <alignment horizontal="left"/>
      <protection hidden="1"/>
    </xf>
    <xf numFmtId="0" fontId="64" fillId="0" borderId="0" xfId="22" applyFont="1" applyBorder="1" applyAlignment="1" applyProtection="1">
      <alignment horizontal="left" vertical="center"/>
      <protection hidden="1"/>
    </xf>
    <xf numFmtId="0" fontId="23" fillId="0" borderId="0" xfId="4" applyFont="1" applyBorder="1" applyAlignment="1" applyProtection="1">
      <alignment horizontal="center" vertical="center"/>
      <protection hidden="1"/>
    </xf>
    <xf numFmtId="0" fontId="29" fillId="0" borderId="0" xfId="8" applyFont="1" applyBorder="1" applyAlignment="1">
      <alignment horizontal="left" vertical="center"/>
    </xf>
    <xf numFmtId="0" fontId="29" fillId="2" borderId="1" xfId="9" applyFont="1" applyBorder="1" applyAlignment="1" applyProtection="1">
      <alignment horizontal="center" vertical="center"/>
      <protection hidden="1"/>
    </xf>
    <xf numFmtId="0" fontId="29" fillId="2" borderId="3" xfId="9" applyFont="1" applyBorder="1" applyAlignment="1" applyProtection="1">
      <alignment horizontal="center" vertical="center"/>
      <protection hidden="1"/>
    </xf>
    <xf numFmtId="0" fontId="23" fillId="0" borderId="0" xfId="0" applyFont="1" applyBorder="1" applyAlignment="1" applyProtection="1">
      <alignment horizontal="left" vertical="top"/>
      <protection hidden="1"/>
    </xf>
    <xf numFmtId="0" fontId="23" fillId="0" borderId="0" xfId="0" applyFont="1" applyBorder="1" applyAlignment="1" applyProtection="1">
      <alignment horizontal="center" vertical="center"/>
      <protection hidden="1"/>
    </xf>
    <xf numFmtId="0" fontId="52" fillId="0" borderId="0" xfId="0" applyFont="1" applyBorder="1" applyAlignment="1">
      <alignment horizontal="right"/>
    </xf>
    <xf numFmtId="0" fontId="8" fillId="0" borderId="0" xfId="1" applyFill="1" applyBorder="1" applyAlignment="1" applyProtection="1">
      <alignment horizontal="left" vertical="center"/>
      <protection hidden="1"/>
    </xf>
    <xf numFmtId="0" fontId="64" fillId="0" borderId="0" xfId="22" applyFont="1" applyFill="1" applyBorder="1" applyAlignment="1" applyProtection="1">
      <alignment horizontal="left" vertical="center"/>
      <protection hidden="1"/>
    </xf>
    <xf numFmtId="0" fontId="25" fillId="0" borderId="0" xfId="13" applyFont="1" applyBorder="1" applyAlignment="1" applyProtection="1">
      <alignment horizontal="center" vertical="center" wrapText="1"/>
      <protection hidden="1"/>
    </xf>
    <xf numFmtId="0" fontId="6" fillId="0" borderId="20" xfId="5" applyFont="1" applyBorder="1" applyAlignment="1">
      <alignment horizontal="left" vertical="center"/>
    </xf>
    <xf numFmtId="0" fontId="64" fillId="0" borderId="0" xfId="1" applyFont="1" applyBorder="1" applyAlignment="1" applyProtection="1">
      <alignment horizontal="left"/>
      <protection hidden="1"/>
    </xf>
    <xf numFmtId="0" fontId="32" fillId="0" borderId="0" xfId="0" applyFont="1" applyBorder="1" applyAlignment="1" applyProtection="1">
      <alignment horizontal="center"/>
      <protection hidden="1"/>
    </xf>
    <xf numFmtId="0" fontId="64" fillId="0" borderId="0" xfId="6" applyFont="1" applyBorder="1" applyProtection="1">
      <alignment vertical="center"/>
      <protection hidden="1"/>
    </xf>
    <xf numFmtId="0" fontId="64" fillId="0" borderId="0" xfId="1" applyFont="1" applyFill="1" applyBorder="1" applyAlignment="1" applyProtection="1">
      <alignment horizontal="left" vertical="center"/>
      <protection hidden="1"/>
    </xf>
    <xf numFmtId="0" fontId="14" fillId="0" borderId="0" xfId="0" applyFont="1" applyBorder="1" applyAlignment="1" applyProtection="1">
      <alignment horizontal="center"/>
      <protection hidden="1"/>
    </xf>
    <xf numFmtId="169" fontId="23" fillId="0" borderId="0" xfId="0" applyNumberFormat="1" applyFont="1" applyBorder="1" applyAlignment="1" applyProtection="1">
      <alignment horizontal="right" vertical="top"/>
      <protection hidden="1"/>
    </xf>
    <xf numFmtId="0" fontId="26" fillId="0" borderId="0" xfId="5" applyFont="1" applyBorder="1" applyAlignment="1">
      <alignment horizontal="left" vertical="center"/>
    </xf>
    <xf numFmtId="0" fontId="14" fillId="0" borderId="0" xfId="0" applyFont="1" applyBorder="1" applyAlignment="1" applyProtection="1">
      <alignment horizontal="center" wrapText="1"/>
      <protection hidden="1"/>
    </xf>
    <xf numFmtId="0" fontId="14" fillId="0" borderId="0" xfId="0" applyFont="1" applyBorder="1" applyAlignment="1" applyProtection="1">
      <alignment horizontal="right"/>
      <protection hidden="1"/>
    </xf>
    <xf numFmtId="0" fontId="64" fillId="0" borderId="0" xfId="6" applyFont="1" applyBorder="1" applyAlignment="1" applyProtection="1">
      <alignment horizontal="center" vertical="center"/>
      <protection hidden="1"/>
    </xf>
    <xf numFmtId="0" fontId="14" fillId="0" borderId="0" xfId="0" applyFont="1" applyBorder="1" applyAlignment="1" applyProtection="1">
      <alignment horizontal="left" wrapText="1"/>
      <protection hidden="1"/>
    </xf>
    <xf numFmtId="0" fontId="23" fillId="0" borderId="0" xfId="0" applyFont="1" applyBorder="1" applyAlignment="1" applyProtection="1">
      <alignment horizontal="center"/>
      <protection hidden="1"/>
    </xf>
    <xf numFmtId="0" fontId="25" fillId="0" borderId="5" xfId="13" applyFont="1" applyBorder="1" applyAlignment="1" applyProtection="1">
      <alignment horizontal="center" vertical="center" wrapText="1"/>
      <protection hidden="1"/>
    </xf>
    <xf numFmtId="0" fontId="8" fillId="0" borderId="0" xfId="1" applyFill="1" applyBorder="1" applyAlignment="1" applyProtection="1">
      <alignment vertical="center"/>
      <protection hidden="1"/>
    </xf>
    <xf numFmtId="0" fontId="64" fillId="0" borderId="0" xfId="22" applyFont="1" applyFill="1" applyBorder="1" applyProtection="1">
      <alignment vertical="center"/>
      <protection hidden="1"/>
    </xf>
    <xf numFmtId="0" fontId="23" fillId="0" borderId="0" xfId="0" applyFont="1" applyBorder="1" applyAlignment="1" applyProtection="1">
      <alignment horizontal="center" wrapText="1"/>
      <protection hidden="1"/>
    </xf>
    <xf numFmtId="0" fontId="64" fillId="0" borderId="0" xfId="6" applyFont="1" applyBorder="1" applyAlignment="1" applyProtection="1">
      <alignment horizontal="left" vertical="center"/>
      <protection hidden="1"/>
    </xf>
    <xf numFmtId="0" fontId="23" fillId="0" borderId="0" xfId="0" applyFont="1" applyAlignment="1" applyProtection="1">
      <alignment horizontal="center"/>
      <protection hidden="1"/>
    </xf>
    <xf numFmtId="0" fontId="23" fillId="0" borderId="0" xfId="0" applyFont="1" applyBorder="1" applyAlignment="1" applyProtection="1">
      <alignment horizontal="left" vertical="center" wrapText="1"/>
      <protection hidden="1"/>
    </xf>
    <xf numFmtId="0" fontId="23" fillId="0" borderId="0" xfId="0" applyFont="1" applyBorder="1" applyAlignment="1" applyProtection="1">
      <alignment horizontal="center" vertical="top"/>
      <protection hidden="1"/>
    </xf>
    <xf numFmtId="0" fontId="64" fillId="0" borderId="0" xfId="1" applyFont="1" applyFill="1" applyBorder="1" applyAlignment="1" applyProtection="1">
      <alignment horizontal="left" vertical="top" wrapText="1"/>
      <protection hidden="1"/>
    </xf>
    <xf numFmtId="0" fontId="64" fillId="0" borderId="0" xfId="26" applyFill="1" applyBorder="1" applyAlignment="1" applyProtection="1">
      <alignment horizontal="center" vertical="center"/>
      <protection hidden="1"/>
    </xf>
    <xf numFmtId="0" fontId="23" fillId="0" borderId="0" xfId="0" applyFont="1" applyBorder="1" applyAlignment="1" applyProtection="1">
      <alignment horizontal="left" vertical="top" wrapText="1"/>
      <protection hidden="1"/>
    </xf>
    <xf numFmtId="0" fontId="52" fillId="0" borderId="0" xfId="0" applyFont="1" applyBorder="1" applyAlignment="1" applyProtection="1">
      <alignment horizontal="right"/>
      <protection hidden="1"/>
    </xf>
    <xf numFmtId="0" fontId="6" fillId="0" borderId="20" xfId="5" applyFont="1" applyBorder="1" applyAlignment="1" applyProtection="1">
      <alignment horizontal="left" vertical="center"/>
      <protection hidden="1"/>
    </xf>
    <xf numFmtId="0" fontId="30" fillId="0" borderId="0" xfId="0" applyFont="1" applyBorder="1" applyAlignment="1" applyProtection="1">
      <alignment horizontal="left" vertical="top"/>
      <protection hidden="1"/>
    </xf>
    <xf numFmtId="0" fontId="24" fillId="0" borderId="0" xfId="0" applyFont="1" applyBorder="1" applyAlignment="1" applyProtection="1">
      <alignment horizontal="center" vertical="top"/>
      <protection hidden="1"/>
    </xf>
    <xf numFmtId="0" fontId="27" fillId="0" borderId="0" xfId="0" applyFont="1" applyBorder="1" applyAlignment="1" applyProtection="1">
      <alignment horizontal="left"/>
      <protection hidden="1"/>
    </xf>
    <xf numFmtId="0" fontId="23" fillId="0" borderId="0" xfId="0" applyFont="1" applyBorder="1" applyAlignment="1" applyProtection="1">
      <alignment horizontal="center" vertical="top" wrapText="1"/>
      <protection hidden="1"/>
    </xf>
    <xf numFmtId="0" fontId="35" fillId="0" borderId="10" xfId="0" applyFont="1" applyBorder="1" applyAlignment="1" applyProtection="1">
      <alignment horizontal="left" vertical="top"/>
      <protection hidden="1"/>
    </xf>
    <xf numFmtId="0" fontId="23" fillId="0" borderId="0" xfId="0" applyFont="1" applyBorder="1" applyAlignment="1" applyProtection="1">
      <alignment horizontal="left" vertical="top" wrapText="1" indent="2"/>
      <protection hidden="1"/>
    </xf>
    <xf numFmtId="0" fontId="23" fillId="0" borderId="8" xfId="0" applyFont="1" applyBorder="1" applyAlignment="1" applyProtection="1">
      <alignment horizontal="left" vertical="top" wrapText="1" indent="2"/>
      <protection hidden="1"/>
    </xf>
    <xf numFmtId="0" fontId="14" fillId="0" borderId="5" xfId="0" applyFont="1" applyBorder="1" applyAlignment="1" applyProtection="1">
      <alignment horizontal="left" vertical="top" wrapText="1" indent="2"/>
      <protection hidden="1"/>
    </xf>
    <xf numFmtId="0" fontId="14" fillId="0" borderId="6" xfId="0" applyFont="1" applyBorder="1" applyAlignment="1" applyProtection="1">
      <alignment horizontal="left" vertical="top" wrapText="1" indent="2"/>
      <protection hidden="1"/>
    </xf>
    <xf numFmtId="0" fontId="14" fillId="0" borderId="0" xfId="0" applyFont="1" applyBorder="1" applyAlignment="1" applyProtection="1">
      <alignment horizontal="left" vertical="top" wrapText="1" indent="2"/>
      <protection hidden="1"/>
    </xf>
    <xf numFmtId="0" fontId="14" fillId="0" borderId="8" xfId="0" applyFont="1" applyBorder="1" applyAlignment="1" applyProtection="1">
      <alignment horizontal="left" vertical="top" wrapText="1" indent="2"/>
      <protection hidden="1"/>
    </xf>
    <xf numFmtId="0" fontId="14" fillId="0" borderId="65" xfId="0" applyFont="1" applyBorder="1" applyAlignment="1" applyProtection="1">
      <alignment horizontal="left" vertical="top" wrapText="1" indent="2"/>
      <protection hidden="1"/>
    </xf>
    <xf numFmtId="0" fontId="14" fillId="0" borderId="66" xfId="0" applyFont="1" applyBorder="1" applyAlignment="1" applyProtection="1">
      <alignment horizontal="left" vertical="top" wrapText="1" indent="2"/>
      <protection hidden="1"/>
    </xf>
    <xf numFmtId="0" fontId="23" fillId="0" borderId="68" xfId="0" applyFont="1" applyBorder="1" applyAlignment="1" applyProtection="1">
      <alignment horizontal="left" vertical="top" wrapText="1" indent="2"/>
      <protection hidden="1"/>
    </xf>
    <xf numFmtId="0" fontId="23" fillId="0" borderId="69" xfId="0" applyFont="1" applyBorder="1" applyAlignment="1" applyProtection="1">
      <alignment horizontal="left" vertical="top" wrapText="1" indent="2"/>
      <protection hidden="1"/>
    </xf>
    <xf numFmtId="0" fontId="23" fillId="0" borderId="65" xfId="0" applyFont="1" applyBorder="1" applyAlignment="1" applyProtection="1">
      <alignment horizontal="left" vertical="top" wrapText="1" indent="2"/>
      <protection hidden="1"/>
    </xf>
    <xf numFmtId="0" fontId="23" fillId="0" borderId="66" xfId="0" applyFont="1" applyBorder="1" applyAlignment="1" applyProtection="1">
      <alignment horizontal="left" vertical="top" wrapText="1" indent="2"/>
      <protection hidden="1"/>
    </xf>
    <xf numFmtId="0" fontId="36" fillId="0" borderId="0" xfId="0" applyFont="1" applyBorder="1" applyAlignment="1" applyProtection="1">
      <alignment horizontal="center" vertical="top"/>
      <protection hidden="1"/>
    </xf>
    <xf numFmtId="0" fontId="64" fillId="0" borderId="0" xfId="1" applyFont="1" applyBorder="1" applyAlignment="1" applyProtection="1">
      <alignment horizontal="left" vertical="top" wrapText="1"/>
      <protection hidden="1"/>
    </xf>
    <xf numFmtId="0" fontId="58" fillId="0" borderId="0" xfId="0" applyFont="1" applyBorder="1" applyAlignment="1" applyProtection="1">
      <alignment horizontal="center" vertical="top"/>
      <protection hidden="1"/>
    </xf>
    <xf numFmtId="0" fontId="14" fillId="0" borderId="4" xfId="0" applyFont="1" applyBorder="1" applyAlignment="1" applyProtection="1">
      <alignment horizontal="left" vertical="top" wrapText="1" indent="2"/>
      <protection hidden="1"/>
    </xf>
    <xf numFmtId="0" fontId="14" fillId="0" borderId="7" xfId="0" applyFont="1" applyBorder="1" applyAlignment="1" applyProtection="1">
      <alignment horizontal="left" vertical="top" wrapText="1" indent="2"/>
      <protection hidden="1"/>
    </xf>
    <xf numFmtId="0" fontId="14" fillId="0" borderId="71" xfId="0" applyFont="1" applyBorder="1" applyAlignment="1" applyProtection="1">
      <alignment horizontal="left" vertical="top" wrapText="1" indent="2"/>
      <protection hidden="1"/>
    </xf>
    <xf numFmtId="0" fontId="23" fillId="0" borderId="72" xfId="0" applyFont="1" applyBorder="1" applyAlignment="1" applyProtection="1">
      <alignment horizontal="left" vertical="top" wrapText="1" indent="2"/>
      <protection hidden="1"/>
    </xf>
    <xf numFmtId="0" fontId="23" fillId="0" borderId="7" xfId="0" applyFont="1" applyBorder="1" applyAlignment="1" applyProtection="1">
      <alignment horizontal="left" vertical="top" wrapText="1" indent="2"/>
      <protection hidden="1"/>
    </xf>
    <xf numFmtId="0" fontId="23" fillId="0" borderId="65" xfId="0" applyFont="1" applyBorder="1" applyAlignment="1" applyProtection="1">
      <alignment horizontal="left" vertical="top" wrapText="1"/>
      <protection hidden="1"/>
    </xf>
    <xf numFmtId="0" fontId="23" fillId="0" borderId="68" xfId="0" applyFont="1" applyBorder="1" applyAlignment="1" applyProtection="1">
      <alignment horizontal="center" vertical="top" wrapText="1"/>
      <protection hidden="1"/>
    </xf>
    <xf numFmtId="0" fontId="23" fillId="0" borderId="69" xfId="0" applyFont="1" applyBorder="1" applyAlignment="1" applyProtection="1">
      <alignment horizontal="center" vertical="top" wrapText="1"/>
      <protection hidden="1"/>
    </xf>
    <xf numFmtId="0" fontId="38" fillId="0" borderId="5" xfId="11" applyFont="1" applyFill="1" applyBorder="1" applyAlignment="1" applyProtection="1">
      <alignment horizontal="left" vertical="center"/>
      <protection hidden="1"/>
    </xf>
    <xf numFmtId="0" fontId="29" fillId="0" borderId="4" xfId="0" applyFont="1" applyBorder="1" applyAlignment="1" applyProtection="1">
      <alignment horizontal="center" vertical="center"/>
      <protection hidden="1"/>
    </xf>
    <xf numFmtId="0" fontId="29" fillId="0" borderId="7" xfId="0" applyFont="1" applyBorder="1" applyAlignment="1" applyProtection="1">
      <alignment horizontal="center" vertical="center"/>
      <protection hidden="1"/>
    </xf>
    <xf numFmtId="0" fontId="29" fillId="0" borderId="9" xfId="0" applyFont="1" applyBorder="1" applyAlignment="1" applyProtection="1">
      <alignment horizontal="center" vertical="center"/>
      <protection hidden="1"/>
    </xf>
    <xf numFmtId="0" fontId="30" fillId="0" borderId="4" xfId="0" applyFont="1" applyFill="1" applyBorder="1" applyAlignment="1" applyProtection="1">
      <alignment horizontal="center" vertical="center"/>
      <protection hidden="1"/>
    </xf>
    <xf numFmtId="0" fontId="30" fillId="0" borderId="6" xfId="0" applyFont="1" applyFill="1" applyBorder="1" applyAlignment="1" applyProtection="1">
      <alignment horizontal="center" vertical="center"/>
      <protection hidden="1"/>
    </xf>
    <xf numFmtId="0" fontId="29" fillId="0" borderId="15" xfId="4" applyFont="1" applyBorder="1" applyAlignment="1" applyProtection="1">
      <alignment horizontal="center" vertical="center" wrapText="1"/>
      <protection hidden="1"/>
    </xf>
    <xf numFmtId="0" fontId="29" fillId="0" borderId="7" xfId="4" applyFont="1" applyBorder="1" applyAlignment="1" applyProtection="1">
      <alignment horizontal="center" vertical="center"/>
      <protection hidden="1"/>
    </xf>
    <xf numFmtId="0" fontId="29" fillId="0" borderId="8" xfId="4" applyFont="1" applyBorder="1" applyAlignment="1" applyProtection="1">
      <alignment horizontal="center" vertical="center"/>
      <protection hidden="1"/>
    </xf>
    <xf numFmtId="0" fontId="29" fillId="0" borderId="9" xfId="4" applyFont="1" applyBorder="1" applyAlignment="1" applyProtection="1">
      <alignment horizontal="center" vertical="center"/>
      <protection hidden="1"/>
    </xf>
    <xf numFmtId="0" fontId="29" fillId="0" borderId="11" xfId="4" applyFont="1" applyBorder="1" applyAlignment="1" applyProtection="1">
      <alignment horizontal="center" vertical="center"/>
      <protection hidden="1"/>
    </xf>
    <xf numFmtId="0" fontId="39" fillId="0" borderId="4" xfId="4" applyFont="1" applyBorder="1" applyAlignment="1" applyProtection="1">
      <alignment horizontal="center" vertical="center"/>
      <protection hidden="1"/>
    </xf>
    <xf numFmtId="0" fontId="39" fillId="0" borderId="6" xfId="4" applyFont="1" applyBorder="1" applyAlignment="1" applyProtection="1">
      <alignment horizontal="center" vertical="center"/>
      <protection hidden="1"/>
    </xf>
    <xf numFmtId="0" fontId="29" fillId="0" borderId="0" xfId="4" applyFont="1" applyFill="1" applyBorder="1" applyAlignment="1" applyProtection="1">
      <alignment horizontal="left" vertical="center"/>
      <protection hidden="1"/>
    </xf>
    <xf numFmtId="0" fontId="26" fillId="0" borderId="0" xfId="8" applyFont="1" applyBorder="1" applyAlignment="1" applyProtection="1">
      <alignment horizontal="left" vertical="center"/>
      <protection hidden="1"/>
    </xf>
    <xf numFmtId="0" fontId="29" fillId="0" borderId="0" xfId="4" applyFont="1" applyBorder="1" applyAlignment="1" applyProtection="1">
      <alignment horizontal="right" vertical="center"/>
      <protection hidden="1"/>
    </xf>
    <xf numFmtId="0" fontId="23" fillId="0" borderId="0" xfId="8" applyFont="1" applyBorder="1" applyAlignment="1" applyProtection="1">
      <alignment horizontal="left" vertical="center" wrapText="1" indent="4"/>
      <protection hidden="1"/>
    </xf>
    <xf numFmtId="0" fontId="29" fillId="0" borderId="10" xfId="0" applyFont="1" applyFill="1" applyBorder="1" applyAlignment="1" applyProtection="1">
      <alignment horizontal="center" wrapText="1"/>
      <protection hidden="1"/>
    </xf>
    <xf numFmtId="0" fontId="23" fillId="0" borderId="40" xfId="4" applyFont="1" applyBorder="1" applyAlignment="1" applyProtection="1">
      <alignment horizontal="center" vertical="center"/>
      <protection hidden="1"/>
    </xf>
    <xf numFmtId="0" fontId="29" fillId="0" borderId="0" xfId="0" applyFont="1" applyFill="1" applyBorder="1" applyAlignment="1" applyProtection="1">
      <alignment horizontal="center" wrapText="1"/>
      <protection hidden="1"/>
    </xf>
    <xf numFmtId="0" fontId="23" fillId="0" borderId="7" xfId="4" applyFont="1" applyBorder="1" applyAlignment="1" applyProtection="1">
      <alignment horizontal="left" vertical="center"/>
      <protection hidden="1"/>
    </xf>
    <xf numFmtId="0" fontId="23" fillId="0" borderId="0" xfId="4" applyFont="1" applyBorder="1" applyAlignment="1" applyProtection="1">
      <alignment horizontal="left" vertical="center"/>
      <protection hidden="1"/>
    </xf>
    <xf numFmtId="0" fontId="29" fillId="0" borderId="0" xfId="8" applyFont="1" applyBorder="1" applyAlignment="1" applyProtection="1">
      <alignment horizontal="left" vertical="center" wrapText="1"/>
      <protection hidden="1"/>
    </xf>
    <xf numFmtId="0" fontId="23" fillId="0" borderId="0" xfId="8" applyFont="1" applyBorder="1" applyAlignment="1" applyProtection="1">
      <alignment horizontal="left" vertical="center" wrapText="1"/>
      <protection hidden="1"/>
    </xf>
    <xf numFmtId="0" fontId="23" fillId="0" borderId="51" xfId="4" applyFont="1" applyBorder="1" applyAlignment="1" applyProtection="1">
      <alignment horizontal="center" vertical="center"/>
      <protection hidden="1"/>
    </xf>
    <xf numFmtId="0" fontId="23" fillId="0" borderId="52" xfId="4" applyFont="1" applyBorder="1" applyAlignment="1" applyProtection="1">
      <alignment horizontal="center" vertical="center"/>
      <protection hidden="1"/>
    </xf>
    <xf numFmtId="0" fontId="23" fillId="0" borderId="55" xfId="4" applyFont="1" applyBorder="1" applyAlignment="1" applyProtection="1">
      <alignment horizontal="center" vertical="center" wrapText="1"/>
      <protection hidden="1"/>
    </xf>
    <xf numFmtId="0" fontId="23" fillId="0" borderId="56" xfId="4" applyFont="1" applyBorder="1" applyAlignment="1" applyProtection="1">
      <alignment horizontal="center" vertical="center" wrapText="1"/>
      <protection hidden="1"/>
    </xf>
    <xf numFmtId="0" fontId="23" fillId="0" borderId="57" xfId="4" applyFont="1" applyBorder="1" applyAlignment="1" applyProtection="1">
      <alignment horizontal="center" vertical="center" wrapText="1"/>
      <protection hidden="1"/>
    </xf>
    <xf numFmtId="0" fontId="23" fillId="0" borderId="58" xfId="4" applyFont="1" applyBorder="1" applyAlignment="1" applyProtection="1">
      <alignment horizontal="center" vertical="center" wrapText="1"/>
      <protection hidden="1"/>
    </xf>
    <xf numFmtId="0" fontId="23" fillId="0" borderId="53" xfId="4" applyFont="1" applyBorder="1" applyAlignment="1" applyProtection="1">
      <alignment horizontal="center" vertical="center" wrapText="1"/>
      <protection hidden="1"/>
    </xf>
    <xf numFmtId="0" fontId="23" fillId="0" borderId="54" xfId="4" applyFont="1" applyBorder="1" applyAlignment="1" applyProtection="1">
      <alignment horizontal="center" vertical="center" wrapText="1"/>
      <protection hidden="1"/>
    </xf>
    <xf numFmtId="0" fontId="26" fillId="0" borderId="16" xfId="5" applyFont="1" applyBorder="1" applyAlignment="1" applyProtection="1">
      <alignment horizontal="left" vertical="center"/>
      <protection hidden="1"/>
    </xf>
    <xf numFmtId="0" fontId="64" fillId="0" borderId="0" xfId="26" applyBorder="1" applyAlignment="1" applyProtection="1">
      <alignment horizontal="center" wrapText="1"/>
      <protection hidden="1"/>
    </xf>
    <xf numFmtId="0" fontId="52" fillId="0" borderId="0" xfId="0" applyFont="1" applyAlignment="1">
      <alignment horizontal="right"/>
    </xf>
    <xf numFmtId="0" fontId="25" fillId="0" borderId="0" xfId="8" applyFont="1" applyBorder="1" applyAlignment="1">
      <alignment horizontal="left"/>
    </xf>
    <xf numFmtId="0" fontId="29" fillId="2" borderId="1" xfId="9" applyFont="1" applyBorder="1" applyAlignment="1">
      <alignment horizontal="center" vertical="center"/>
    </xf>
    <xf numFmtId="0" fontId="29" fillId="2" borderId="3" xfId="9" applyFont="1" applyBorder="1" applyAlignment="1">
      <alignment horizontal="center" vertical="center"/>
    </xf>
    <xf numFmtId="0" fontId="29" fillId="0" borderId="0" xfId="0" applyFont="1" applyAlignment="1">
      <alignment horizontal="right"/>
    </xf>
    <xf numFmtId="0" fontId="29" fillId="2" borderId="1" xfId="4" applyFont="1" applyFill="1" applyBorder="1" applyAlignment="1">
      <alignment horizontal="right" vertical="center"/>
    </xf>
    <xf numFmtId="0" fontId="29" fillId="2" borderId="2" xfId="4" applyFont="1" applyFill="1" applyBorder="1" applyAlignment="1">
      <alignment horizontal="right" vertical="center"/>
    </xf>
    <xf numFmtId="0" fontId="29" fillId="2" borderId="3" xfId="4" applyFont="1" applyFill="1" applyBorder="1" applyAlignment="1">
      <alignment horizontal="right" vertical="center"/>
    </xf>
    <xf numFmtId="0" fontId="23" fillId="0" borderId="0" xfId="4" applyFont="1" applyAlignment="1">
      <alignment horizontal="right" vertical="center"/>
    </xf>
    <xf numFmtId="0" fontId="42" fillId="0" borderId="0" xfId="0" applyFont="1" applyAlignment="1">
      <alignment horizontal="center" wrapText="1"/>
    </xf>
    <xf numFmtId="0" fontId="26" fillId="0" borderId="20" xfId="8" applyFont="1" applyBorder="1" applyAlignment="1">
      <alignment horizontal="left" vertical="center"/>
    </xf>
    <xf numFmtId="0" fontId="30" fillId="6" borderId="27" xfId="17" applyFont="1" applyFill="1" applyBorder="1" applyAlignment="1">
      <alignment horizontal="center" vertical="center" wrapText="1"/>
    </xf>
    <xf numFmtId="0" fontId="29" fillId="0" borderId="15" xfId="0" applyFont="1" applyBorder="1" applyAlignment="1">
      <alignment horizontal="center" vertical="center"/>
    </xf>
    <xf numFmtId="0" fontId="30" fillId="6" borderId="15" xfId="17" applyFont="1" applyFill="1" applyBorder="1" applyAlignment="1">
      <alignment horizontal="center" vertical="center" wrapText="1"/>
    </xf>
    <xf numFmtId="0" fontId="30" fillId="0" borderId="15" xfId="11" applyFont="1" applyFill="1" applyBorder="1" applyAlignment="1">
      <alignment horizontal="center" vertical="center" wrapText="1"/>
    </xf>
    <xf numFmtId="0" fontId="30" fillId="0" borderId="31" xfId="11" applyFont="1" applyFill="1" applyBorder="1" applyAlignment="1">
      <alignment horizontal="center" vertical="center" wrapText="1"/>
    </xf>
    <xf numFmtId="0" fontId="30" fillId="0" borderId="44" xfId="11" applyFont="1" applyFill="1" applyBorder="1" applyAlignment="1">
      <alignment horizontal="center" vertical="center" wrapText="1"/>
    </xf>
    <xf numFmtId="0" fontId="42" fillId="0" borderId="44" xfId="11" applyFont="1" applyFill="1" applyBorder="1" applyAlignment="1">
      <alignment horizontal="center" vertical="center" wrapText="1"/>
    </xf>
    <xf numFmtId="0" fontId="42" fillId="0" borderId="48" xfId="11" applyFont="1" applyFill="1" applyBorder="1" applyAlignment="1">
      <alignment horizontal="center" vertical="center" wrapText="1"/>
    </xf>
    <xf numFmtId="0" fontId="14" fillId="0" borderId="36" xfId="4" applyFont="1" applyBorder="1" applyAlignment="1">
      <alignment horizontal="right" vertical="center"/>
    </xf>
    <xf numFmtId="0" fontId="14" fillId="0" borderId="37" xfId="4" applyFont="1" applyBorder="1" applyAlignment="1">
      <alignment horizontal="right" vertical="center"/>
    </xf>
    <xf numFmtId="0" fontId="47" fillId="0" borderId="16" xfId="17" quotePrefix="1" applyFont="1" applyBorder="1" applyAlignment="1">
      <alignment horizontal="left"/>
    </xf>
    <xf numFmtId="0" fontId="42" fillId="0" borderId="0" xfId="17" quotePrefix="1" applyFont="1" applyAlignment="1">
      <alignment horizontal="left"/>
    </xf>
    <xf numFmtId="0" fontId="23" fillId="0" borderId="0" xfId="8" applyFont="1" applyFill="1" applyBorder="1" applyAlignment="1" applyProtection="1">
      <alignment horizontal="left" vertical="center" wrapText="1" indent="3"/>
      <protection hidden="1"/>
    </xf>
    <xf numFmtId="0" fontId="52" fillId="0" borderId="0" xfId="8" applyFont="1" applyFill="1" applyBorder="1" applyAlignment="1" applyProtection="1">
      <alignment horizontal="left" vertical="center" wrapText="1" indent="3"/>
      <protection hidden="1"/>
    </xf>
    <xf numFmtId="0" fontId="64" fillId="0" borderId="0" xfId="28" applyFill="1" applyBorder="1" applyAlignment="1" applyProtection="1">
      <alignment horizontal="left" vertical="center" indent="3"/>
      <protection hidden="1"/>
    </xf>
    <xf numFmtId="0" fontId="14" fillId="0" borderId="0" xfId="0" applyFont="1" applyFill="1" applyBorder="1" applyAlignment="1" applyProtection="1">
      <alignment horizontal="left"/>
      <protection hidden="1"/>
    </xf>
    <xf numFmtId="0" fontId="14" fillId="0" borderId="8" xfId="0" applyFont="1" applyFill="1" applyBorder="1" applyAlignment="1" applyProtection="1">
      <alignment horizontal="left"/>
      <protection hidden="1"/>
    </xf>
    <xf numFmtId="0" fontId="26" fillId="0" borderId="0" xfId="8" applyFont="1" applyFill="1" applyBorder="1" applyAlignment="1" applyProtection="1">
      <alignment horizontal="left" vertical="center"/>
      <protection hidden="1"/>
    </xf>
    <xf numFmtId="0" fontId="14" fillId="0" borderId="0" xfId="0" applyFont="1" applyFill="1" applyBorder="1" applyAlignment="1" applyProtection="1">
      <alignment horizontal="center"/>
      <protection hidden="1"/>
    </xf>
    <xf numFmtId="0" fontId="14" fillId="0" borderId="5" xfId="0" applyFont="1" applyFill="1" applyBorder="1" applyAlignment="1" applyProtection="1">
      <alignment horizontal="center"/>
      <protection hidden="1"/>
    </xf>
    <xf numFmtId="0" fontId="14" fillId="0" borderId="7" xfId="0" applyFont="1" applyFill="1" applyBorder="1" applyAlignment="1" applyProtection="1">
      <alignment horizontal="right"/>
      <protection hidden="1"/>
    </xf>
    <xf numFmtId="0" fontId="14" fillId="0" borderId="0" xfId="0" applyFont="1" applyFill="1" applyBorder="1" applyAlignment="1" applyProtection="1">
      <alignment horizontal="right"/>
      <protection hidden="1"/>
    </xf>
    <xf numFmtId="0" fontId="14" fillId="0" borderId="8" xfId="0" applyFont="1" applyFill="1" applyBorder="1" applyAlignment="1" applyProtection="1">
      <alignment horizontal="right"/>
      <protection hidden="1"/>
    </xf>
    <xf numFmtId="0" fontId="23" fillId="0" borderId="0" xfId="0" applyFont="1" applyBorder="1" applyAlignment="1" applyProtection="1">
      <alignment horizontal="right"/>
      <protection hidden="1"/>
    </xf>
    <xf numFmtId="0" fontId="14" fillId="0" borderId="0" xfId="0" applyFont="1" applyFill="1" applyBorder="1" applyAlignment="1" applyProtection="1">
      <alignment vertical="center"/>
      <protection hidden="1"/>
    </xf>
    <xf numFmtId="0" fontId="14" fillId="0" borderId="0" xfId="0" applyFont="1" applyFill="1" applyBorder="1" applyAlignment="1" applyProtection="1">
      <protection hidden="1"/>
    </xf>
    <xf numFmtId="0" fontId="30" fillId="0" borderId="0" xfId="0" applyFont="1" applyFill="1" applyBorder="1" applyAlignment="1" applyProtection="1">
      <protection hidden="1"/>
    </xf>
    <xf numFmtId="0" fontId="14" fillId="0" borderId="7" xfId="0" applyFont="1" applyBorder="1" applyAlignment="1" applyProtection="1">
      <alignment horizontal="center"/>
      <protection hidden="1"/>
    </xf>
    <xf numFmtId="0" fontId="14" fillId="0" borderId="0" xfId="0" applyFont="1" applyFill="1" applyBorder="1" applyAlignment="1" applyProtection="1">
      <alignment wrapText="1"/>
      <protection hidden="1"/>
    </xf>
    <xf numFmtId="0" fontId="42" fillId="0" borderId="0" xfId="0" applyFont="1" applyBorder="1" applyAlignment="1" applyProtection="1">
      <alignment horizontal="center" vertical="center" wrapText="1"/>
      <protection hidden="1"/>
    </xf>
    <xf numFmtId="1" fontId="14" fillId="0" borderId="10" xfId="0" applyNumberFormat="1" applyFont="1" applyBorder="1" applyAlignment="1" applyProtection="1">
      <alignment horizontal="center" vertical="center"/>
      <protection hidden="1"/>
    </xf>
    <xf numFmtId="0" fontId="23" fillId="0" borderId="20" xfId="0" applyFont="1" applyBorder="1" applyAlignment="1" applyProtection="1">
      <alignment horizontal="center"/>
      <protection hidden="1"/>
    </xf>
    <xf numFmtId="0" fontId="29" fillId="0" borderId="0" xfId="8" applyFont="1" applyFill="1" applyBorder="1" applyAlignment="1" applyProtection="1">
      <alignment horizontal="left" vertical="center"/>
      <protection hidden="1"/>
    </xf>
    <xf numFmtId="0" fontId="14" fillId="0" borderId="0" xfId="8" applyFont="1" applyFill="1" applyBorder="1" applyAlignment="1" applyProtection="1">
      <alignment horizontal="left" wrapText="1"/>
      <protection hidden="1"/>
    </xf>
    <xf numFmtId="0" fontId="30" fillId="0" borderId="0" xfId="0" applyFont="1" applyBorder="1" applyAlignment="1" applyProtection="1">
      <alignment horizontal="left"/>
      <protection hidden="1"/>
    </xf>
    <xf numFmtId="0" fontId="30" fillId="0" borderId="0" xfId="0" applyFont="1" applyBorder="1" applyAlignment="1" applyProtection="1">
      <alignment horizontal="left" wrapText="1"/>
      <protection hidden="1"/>
    </xf>
    <xf numFmtId="0" fontId="52" fillId="0" borderId="0" xfId="8" applyFont="1" applyFill="1" applyBorder="1" applyAlignment="1" applyProtection="1">
      <alignment horizontal="center" vertical="center"/>
      <protection hidden="1"/>
    </xf>
    <xf numFmtId="0" fontId="26" fillId="0" borderId="16" xfId="8" applyFont="1" applyFill="1" applyBorder="1" applyAlignment="1" applyProtection="1">
      <alignment horizontal="left" vertical="center"/>
      <protection hidden="1"/>
    </xf>
    <xf numFmtId="0" fontId="14" fillId="0" borderId="0" xfId="0" applyFont="1" applyFill="1" applyBorder="1" applyAlignment="1" applyProtection="1">
      <alignment horizontal="left" vertical="center"/>
      <protection hidden="1"/>
    </xf>
    <xf numFmtId="0" fontId="14" fillId="0" borderId="8" xfId="0" applyFont="1" applyFill="1" applyBorder="1" applyAlignment="1" applyProtection="1">
      <alignment horizontal="left" vertical="center"/>
      <protection hidden="1"/>
    </xf>
    <xf numFmtId="0" fontId="14" fillId="0" borderId="0" xfId="0" applyFont="1" applyBorder="1" applyAlignment="1" applyProtection="1">
      <alignment horizontal="left"/>
      <protection hidden="1"/>
    </xf>
    <xf numFmtId="0" fontId="30" fillId="0" borderId="0" xfId="0" applyFont="1" applyFill="1" applyBorder="1" applyAlignment="1" applyProtection="1">
      <alignment horizontal="left"/>
      <protection hidden="1"/>
    </xf>
    <xf numFmtId="0" fontId="38" fillId="0" borderId="0" xfId="0" applyFont="1" applyBorder="1" applyAlignment="1">
      <alignment horizontal="left"/>
    </xf>
    <xf numFmtId="0" fontId="60" fillId="0" borderId="0" xfId="26" applyFont="1" applyFill="1" applyBorder="1" applyAlignment="1">
      <alignment horizontal="left" vertical="center"/>
    </xf>
    <xf numFmtId="0" fontId="51" fillId="0" borderId="0" xfId="4" applyFont="1" applyBorder="1" applyAlignment="1">
      <alignment horizontal="left" vertical="center"/>
    </xf>
    <xf numFmtId="0" fontId="60" fillId="0" borderId="0" xfId="26" applyNumberFormat="1" applyFont="1" applyFill="1" applyBorder="1" applyAlignment="1" applyProtection="1">
      <alignment horizontal="left" vertical="center"/>
    </xf>
    <xf numFmtId="0" fontId="38" fillId="0" borderId="0" xfId="4" applyFont="1" applyBorder="1" applyAlignment="1">
      <alignment horizontal="left" vertical="center"/>
    </xf>
    <xf numFmtId="0" fontId="23" fillId="0" borderId="0" xfId="0" applyFont="1" applyBorder="1" applyAlignment="1">
      <alignment horizontal="left" vertical="center" wrapText="1" indent="2"/>
    </xf>
    <xf numFmtId="0" fontId="29" fillId="0" borderId="9" xfId="0" applyFont="1" applyBorder="1" applyAlignment="1">
      <alignment horizontal="center" vertical="center" wrapText="1"/>
    </xf>
    <xf numFmtId="0" fontId="29" fillId="0" borderId="11"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8" xfId="0" applyFont="1" applyBorder="1" applyAlignment="1">
      <alignment horizontal="center" vertical="center" wrapText="1"/>
    </xf>
    <xf numFmtId="0" fontId="34" fillId="0" borderId="0" xfId="22" applyFont="1" applyBorder="1" applyAlignment="1">
      <alignment horizontal="center" vertical="center"/>
    </xf>
    <xf numFmtId="0" fontId="30" fillId="0" borderId="0" xfId="0" applyFont="1" applyAlignment="1">
      <alignment horizontal="center" wrapText="1"/>
    </xf>
    <xf numFmtId="0" fontId="30" fillId="0" borderId="10" xfId="0" applyFont="1" applyBorder="1" applyAlignment="1">
      <alignment horizontal="center" wrapText="1"/>
    </xf>
    <xf numFmtId="0" fontId="27" fillId="0" borderId="0" xfId="0" applyFont="1" applyAlignment="1">
      <alignment horizontal="center" vertical="center" wrapText="1"/>
    </xf>
    <xf numFmtId="0" fontId="27" fillId="0" borderId="10" xfId="0" applyFont="1" applyBorder="1" applyAlignment="1">
      <alignment horizontal="center" vertical="center" wrapText="1"/>
    </xf>
    <xf numFmtId="0" fontId="30" fillId="4" borderId="14" xfId="11" applyFont="1" applyBorder="1" applyAlignment="1" applyProtection="1">
      <alignment horizontal="center" vertical="center" wrapText="1"/>
      <protection hidden="1"/>
    </xf>
    <xf numFmtId="0" fontId="30" fillId="4" borderId="15" xfId="11" applyFont="1" applyBorder="1" applyAlignment="1" applyProtection="1">
      <alignment horizontal="center" vertical="center" wrapText="1"/>
      <protection hidden="1"/>
    </xf>
    <xf numFmtId="0" fontId="30" fillId="0" borderId="0" xfId="0" applyFont="1" applyBorder="1" applyAlignment="1" applyProtection="1">
      <alignment horizontal="center" vertical="center" wrapText="1"/>
      <protection hidden="1"/>
    </xf>
    <xf numFmtId="2" fontId="23" fillId="0" borderId="2" xfId="0" applyNumberFormat="1" applyFont="1" applyBorder="1" applyAlignment="1">
      <alignment horizontal="left"/>
    </xf>
    <xf numFmtId="0" fontId="6" fillId="0" borderId="20" xfId="8" applyFont="1" applyFill="1" applyBorder="1" applyAlignment="1">
      <alignment horizontal="left" vertical="center"/>
    </xf>
    <xf numFmtId="0" fontId="23" fillId="0" borderId="20" xfId="8" applyFont="1" applyFill="1" applyBorder="1" applyAlignment="1">
      <alignment horizontal="left" vertical="center"/>
    </xf>
    <xf numFmtId="0" fontId="29" fillId="0" borderId="17" xfId="0" applyFont="1" applyBorder="1" applyAlignment="1">
      <alignment horizontal="center" vertical="center"/>
    </xf>
    <xf numFmtId="0" fontId="29" fillId="0" borderId="8" xfId="0" applyFont="1" applyBorder="1" applyAlignment="1">
      <alignment horizontal="center" vertical="center"/>
    </xf>
    <xf numFmtId="0" fontId="30" fillId="6" borderId="25" xfId="17" applyFont="1" applyFill="1" applyBorder="1" applyAlignment="1" applyProtection="1">
      <alignment horizontal="center" vertical="center" wrapText="1"/>
    </xf>
    <xf numFmtId="0" fontId="30" fillId="6" borderId="15" xfId="17" applyFont="1" applyFill="1" applyBorder="1" applyAlignment="1" applyProtection="1">
      <alignment horizontal="center" vertical="center" wrapText="1"/>
    </xf>
    <xf numFmtId="0" fontId="30" fillId="0" borderId="25" xfId="11" applyFont="1" applyFill="1" applyBorder="1" applyAlignment="1" applyProtection="1">
      <alignment horizontal="center" vertical="center" wrapText="1"/>
    </xf>
    <xf numFmtId="0" fontId="30" fillId="0" borderId="15" xfId="11" applyFont="1" applyFill="1" applyBorder="1" applyAlignment="1" applyProtection="1">
      <alignment horizontal="center" vertical="center" wrapText="1"/>
    </xf>
    <xf numFmtId="0" fontId="30" fillId="0" borderId="18" xfId="11" applyFont="1" applyFill="1" applyBorder="1" applyAlignment="1" applyProtection="1">
      <alignment horizontal="center" vertical="center" wrapText="1"/>
    </xf>
    <xf numFmtId="0" fontId="30" fillId="0" borderId="31" xfId="11" applyFont="1" applyFill="1" applyBorder="1" applyAlignment="1" applyProtection="1">
      <alignment horizontal="center" vertical="center" wrapText="1"/>
    </xf>
    <xf numFmtId="0" fontId="30" fillId="6" borderId="26" xfId="17" applyFont="1" applyFill="1" applyBorder="1" applyAlignment="1" applyProtection="1">
      <alignment horizontal="center" vertical="center" wrapText="1"/>
    </xf>
    <xf numFmtId="0" fontId="30" fillId="6" borderId="27" xfId="17" applyFont="1" applyFill="1" applyBorder="1" applyAlignment="1" applyProtection="1">
      <alignment horizontal="center" vertical="center" wrapText="1"/>
    </xf>
    <xf numFmtId="0" fontId="30" fillId="6" borderId="29" xfId="17" applyFont="1" applyFill="1" applyBorder="1" applyAlignment="1" applyProtection="1">
      <alignment horizontal="center" vertical="center" wrapText="1"/>
    </xf>
    <xf numFmtId="0" fontId="30" fillId="0" borderId="39" xfId="11" applyFont="1" applyFill="1" applyBorder="1" applyAlignment="1" applyProtection="1">
      <alignment horizontal="center" vertical="center" wrapText="1"/>
    </xf>
    <xf numFmtId="0" fontId="30" fillId="0" borderId="33" xfId="11" applyFont="1" applyFill="1" applyBorder="1" applyAlignment="1" applyProtection="1">
      <alignment horizontal="center" vertical="center" wrapText="1"/>
    </xf>
    <xf numFmtId="0" fontId="23" fillId="0" borderId="0" xfId="8" applyFont="1" applyBorder="1" applyAlignment="1">
      <alignment horizontal="center" vertical="center" wrapText="1"/>
    </xf>
    <xf numFmtId="0" fontId="23" fillId="0" borderId="10" xfId="8" applyFont="1" applyBorder="1" applyAlignment="1">
      <alignment horizontal="center" vertical="center" wrapText="1"/>
    </xf>
    <xf numFmtId="0" fontId="29" fillId="0" borderId="6" xfId="4" applyFont="1" applyBorder="1" applyAlignment="1">
      <alignment horizontal="center" vertical="center" wrapText="1"/>
    </xf>
    <xf numFmtId="0" fontId="29" fillId="0" borderId="8" xfId="4" applyFont="1" applyBorder="1" applyAlignment="1">
      <alignment horizontal="center" vertical="center" wrapText="1"/>
    </xf>
    <xf numFmtId="0" fontId="29" fillId="0" borderId="11" xfId="4" applyFont="1" applyBorder="1" applyAlignment="1">
      <alignment horizontal="center" vertical="center" wrapText="1"/>
    </xf>
    <xf numFmtId="0" fontId="29" fillId="0" borderId="14" xfId="4" applyFont="1" applyBorder="1" applyAlignment="1">
      <alignment horizontal="center" vertical="center" wrapText="1"/>
    </xf>
    <xf numFmtId="0" fontId="29" fillId="0" borderId="15" xfId="4" applyFont="1" applyBorder="1" applyAlignment="1">
      <alignment horizontal="center" vertical="center" wrapText="1"/>
    </xf>
    <xf numFmtId="0" fontId="29" fillId="0" borderId="13" xfId="4" applyFont="1" applyBorder="1" applyAlignment="1">
      <alignment horizontal="center" vertical="center" wrapText="1"/>
    </xf>
    <xf numFmtId="0" fontId="61" fillId="0" borderId="20" xfId="5" applyFont="1" applyFill="1" applyBorder="1" applyAlignment="1">
      <alignment horizontal="left" vertical="center"/>
    </xf>
    <xf numFmtId="0" fontId="29" fillId="0" borderId="16" xfId="25" applyFont="1" applyBorder="1" applyAlignment="1">
      <alignment horizontal="left" vertical="center" wrapText="1"/>
    </xf>
    <xf numFmtId="0" fontId="29" fillId="0" borderId="0" xfId="25" applyFont="1" applyBorder="1" applyAlignment="1">
      <alignment horizontal="left" vertical="center" wrapText="1"/>
    </xf>
    <xf numFmtId="0" fontId="29" fillId="0" borderId="0" xfId="25" applyFont="1" applyFill="1" applyBorder="1" applyAlignment="1">
      <alignment horizontal="left" wrapText="1"/>
    </xf>
    <xf numFmtId="0" fontId="76" fillId="0" borderId="0" xfId="8" applyFont="1" applyBorder="1" applyAlignment="1">
      <alignment horizontal="center" vertical="center"/>
    </xf>
    <xf numFmtId="0" fontId="76" fillId="0" borderId="8" xfId="8" applyFont="1" applyBorder="1" applyAlignment="1">
      <alignment horizontal="center" vertical="center"/>
    </xf>
    <xf numFmtId="0" fontId="76" fillId="0" borderId="7" xfId="8" applyFont="1" applyBorder="1" applyAlignment="1">
      <alignment horizontal="center" vertical="center" wrapText="1"/>
    </xf>
    <xf numFmtId="0" fontId="76" fillId="0" borderId="7" xfId="8" applyFont="1" applyBorder="1" applyAlignment="1">
      <alignment horizontal="center" vertical="center"/>
    </xf>
    <xf numFmtId="0" fontId="76" fillId="0" borderId="9" xfId="8" applyFont="1" applyBorder="1" applyAlignment="1">
      <alignment horizontal="center" vertical="center"/>
    </xf>
    <xf numFmtId="0" fontId="76" fillId="0" borderId="10" xfId="8" applyFont="1" applyBorder="1" applyAlignment="1">
      <alignment horizontal="center" vertical="center"/>
    </xf>
    <xf numFmtId="0" fontId="29" fillId="0" borderId="65" xfId="25" applyFont="1" applyBorder="1" applyAlignment="1">
      <alignment horizontal="center" wrapText="1"/>
    </xf>
    <xf numFmtId="0" fontId="29" fillId="0" borderId="66" xfId="25" applyFont="1" applyBorder="1" applyAlignment="1">
      <alignment horizontal="center" wrapText="1"/>
    </xf>
    <xf numFmtId="0" fontId="25" fillId="0" borderId="0" xfId="25" applyFont="1" applyBorder="1" applyAlignment="1" applyProtection="1">
      <alignment horizontal="center" vertical="center" wrapText="1"/>
      <protection hidden="1"/>
    </xf>
    <xf numFmtId="0" fontId="25" fillId="0" borderId="8" xfId="25" applyFont="1" applyBorder="1" applyAlignment="1" applyProtection="1">
      <alignment horizontal="center" vertical="center" wrapText="1"/>
      <protection hidden="1"/>
    </xf>
    <xf numFmtId="0" fontId="29" fillId="0" borderId="4" xfId="4" applyFont="1" applyFill="1" applyBorder="1" applyAlignment="1">
      <alignment horizontal="center" vertical="center" wrapText="1"/>
    </xf>
    <xf numFmtId="0" fontId="29" fillId="0" borderId="6" xfId="4" applyFont="1" applyFill="1" applyBorder="1" applyAlignment="1">
      <alignment horizontal="center" vertical="center" wrapText="1"/>
    </xf>
    <xf numFmtId="0" fontId="29" fillId="0" borderId="7" xfId="4" applyFont="1" applyFill="1" applyBorder="1" applyAlignment="1">
      <alignment horizontal="center" vertical="center" wrapText="1"/>
    </xf>
    <xf numFmtId="0" fontId="29" fillId="0" borderId="8" xfId="4" applyFont="1" applyFill="1" applyBorder="1" applyAlignment="1">
      <alignment horizontal="center" vertical="center" wrapText="1"/>
    </xf>
    <xf numFmtId="0" fontId="29" fillId="0" borderId="9" xfId="4" applyFont="1" applyFill="1" applyBorder="1" applyAlignment="1">
      <alignment horizontal="center" vertical="center" wrapText="1"/>
    </xf>
    <xf numFmtId="0" fontId="29" fillId="0" borderId="11" xfId="4" applyFont="1" applyFill="1" applyBorder="1" applyAlignment="1">
      <alignment horizontal="center" vertical="center" wrapText="1"/>
    </xf>
    <xf numFmtId="0" fontId="29" fillId="0" borderId="14" xfId="4" applyFont="1" applyFill="1" applyBorder="1" applyAlignment="1">
      <alignment horizontal="center" vertical="center" wrapText="1"/>
    </xf>
    <xf numFmtId="0" fontId="29" fillId="0" borderId="15" xfId="4" applyFont="1" applyFill="1" applyBorder="1" applyAlignment="1">
      <alignment horizontal="center" vertical="center" wrapText="1"/>
    </xf>
    <xf numFmtId="0" fontId="29" fillId="0" borderId="13" xfId="4" applyFont="1" applyFill="1" applyBorder="1" applyAlignment="1">
      <alignment horizontal="center" vertical="center" wrapText="1"/>
    </xf>
    <xf numFmtId="0" fontId="23" fillId="0" borderId="14" xfId="4" applyFont="1" applyBorder="1" applyAlignment="1">
      <alignment horizontal="center" vertical="center" wrapText="1"/>
    </xf>
    <xf numFmtId="0" fontId="23" fillId="0" borderId="15" xfId="4" applyFont="1" applyBorder="1" applyAlignment="1">
      <alignment horizontal="center" vertical="center" wrapText="1"/>
    </xf>
    <xf numFmtId="0" fontId="23" fillId="0" borderId="13" xfId="4" applyFont="1" applyBorder="1" applyAlignment="1">
      <alignment horizontal="center" vertical="center" wrapText="1"/>
    </xf>
    <xf numFmtId="0" fontId="23" fillId="0" borderId="12" xfId="4" applyFont="1" applyBorder="1" applyAlignment="1">
      <alignment horizontal="center" vertical="center"/>
    </xf>
    <xf numFmtId="0" fontId="60" fillId="0" borderId="14" xfId="22" applyFont="1" applyBorder="1" applyAlignment="1" applyProtection="1">
      <alignment horizontal="center" vertical="center" wrapText="1"/>
    </xf>
    <xf numFmtId="0" fontId="60" fillId="0" borderId="15" xfId="22" applyFont="1" applyBorder="1" applyAlignment="1" applyProtection="1">
      <alignment horizontal="center" vertical="center" wrapText="1"/>
    </xf>
    <xf numFmtId="0" fontId="60" fillId="0" borderId="13" xfId="22" applyFont="1" applyBorder="1" applyAlignment="1" applyProtection="1">
      <alignment horizontal="center" vertical="center" wrapText="1"/>
    </xf>
    <xf numFmtId="0" fontId="60" fillId="0" borderId="4" xfId="22" applyFont="1" applyBorder="1" applyAlignment="1" applyProtection="1">
      <alignment horizontal="center" vertical="center" wrapText="1"/>
    </xf>
    <xf numFmtId="0" fontId="60" fillId="0" borderId="7" xfId="22" applyFont="1" applyBorder="1" applyAlignment="1" applyProtection="1">
      <alignment horizontal="center" vertical="center" wrapText="1"/>
    </xf>
    <xf numFmtId="0" fontId="60" fillId="0" borderId="9" xfId="22" applyFont="1" applyBorder="1" applyAlignment="1" applyProtection="1">
      <alignment horizontal="center" vertical="center" wrapText="1"/>
    </xf>
    <xf numFmtId="0" fontId="60" fillId="0" borderId="1" xfId="22" applyFont="1" applyFill="1" applyBorder="1" applyAlignment="1" applyProtection="1">
      <alignment horizontal="center" vertical="center" wrapText="1"/>
    </xf>
    <xf numFmtId="0" fontId="29" fillId="0" borderId="0" xfId="4" applyFont="1" applyFill="1" applyBorder="1" applyAlignment="1">
      <alignment horizontal="left" vertical="center" wrapText="1"/>
    </xf>
    <xf numFmtId="0" fontId="64" fillId="0" borderId="0" xfId="26" applyFont="1" applyFill="1" applyBorder="1" applyAlignment="1">
      <alignment horizontal="left" vertical="center" wrapText="1"/>
    </xf>
    <xf numFmtId="0" fontId="23" fillId="0" borderId="0" xfId="0" applyFont="1" applyAlignment="1">
      <alignment horizontal="left"/>
    </xf>
    <xf numFmtId="0" fontId="64" fillId="0" borderId="5" xfId="1" applyFont="1" applyBorder="1" applyAlignment="1">
      <alignment horizontal="center" vertical="center"/>
    </xf>
    <xf numFmtId="0" fontId="64" fillId="0" borderId="0" xfId="1" applyFont="1" applyBorder="1" applyAlignment="1">
      <alignment horizontal="center" vertical="center"/>
    </xf>
    <xf numFmtId="0" fontId="64" fillId="0" borderId="0" xfId="1" applyFont="1" applyFill="1" applyBorder="1" applyAlignment="1" applyProtection="1">
      <alignment horizontal="center" vertical="center" wrapText="1"/>
      <protection hidden="1"/>
    </xf>
    <xf numFmtId="0" fontId="14" fillId="0" borderId="0" xfId="1" applyFont="1" applyFill="1" applyBorder="1" applyAlignment="1" applyProtection="1">
      <alignment horizontal="center" vertical="center" wrapText="1"/>
      <protection hidden="1"/>
    </xf>
    <xf numFmtId="0" fontId="64" fillId="0" borderId="0" xfId="1" applyFont="1" applyBorder="1" applyAlignment="1" applyProtection="1">
      <alignment horizontal="center" vertical="center"/>
      <protection hidden="1"/>
    </xf>
    <xf numFmtId="0" fontId="64" fillId="0" borderId="0" xfId="1" applyFont="1" applyFill="1" applyBorder="1" applyAlignment="1" applyProtection="1">
      <alignment horizontal="center" vertical="center"/>
      <protection hidden="1"/>
    </xf>
    <xf numFmtId="0" fontId="23" fillId="0" borderId="0" xfId="0" applyFont="1" applyAlignment="1">
      <alignment horizontal="left" vertical="center" wrapText="1"/>
    </xf>
    <xf numFmtId="0" fontId="23" fillId="0" borderId="0" xfId="0" applyFont="1" applyAlignment="1">
      <alignment horizontal="left" vertical="center" wrapText="1" indent="3"/>
    </xf>
    <xf numFmtId="0" fontId="23" fillId="0" borderId="0" xfId="4" applyFont="1" applyFill="1" applyBorder="1" applyAlignment="1">
      <alignment horizontal="left" vertical="center" wrapText="1" indent="3"/>
    </xf>
    <xf numFmtId="0" fontId="49" fillId="0" borderId="0" xfId="4" applyFont="1" applyFill="1" applyBorder="1" applyAlignment="1">
      <alignment horizontal="left" vertical="center" wrapText="1"/>
    </xf>
    <xf numFmtId="0" fontId="84" fillId="0" borderId="0" xfId="0" applyFont="1" applyFill="1" applyBorder="1" applyAlignment="1">
      <alignment horizontal="left" vertical="center" indent="4"/>
    </xf>
    <xf numFmtId="0" fontId="60" fillId="0" borderId="0" xfId="22" applyFont="1" applyFill="1" applyBorder="1" applyAlignment="1">
      <alignment horizontal="left" vertical="center" indent="4"/>
    </xf>
    <xf numFmtId="0" fontId="49" fillId="0" borderId="0" xfId="4" applyFont="1" applyFill="1" applyBorder="1" applyAlignment="1">
      <alignment horizontal="left" vertical="center" indent="4"/>
    </xf>
    <xf numFmtId="0" fontId="60" fillId="0" borderId="0" xfId="22" applyFont="1" applyFill="1" applyBorder="1" applyAlignment="1" applyProtection="1">
      <alignment horizontal="left" vertical="center" indent="4"/>
    </xf>
    <xf numFmtId="0" fontId="34" fillId="0" borderId="0" xfId="22" applyFont="1" applyFill="1" applyBorder="1" applyAlignment="1" applyProtection="1">
      <alignment horizontal="center" vertical="center"/>
    </xf>
    <xf numFmtId="0" fontId="49" fillId="0" borderId="0" xfId="0" applyFont="1" applyFill="1" applyBorder="1" applyAlignment="1">
      <alignment horizontal="center" vertical="center"/>
    </xf>
    <xf numFmtId="0" fontId="60" fillId="0" borderId="0" xfId="22" applyFont="1" applyFill="1" applyBorder="1" applyAlignment="1">
      <alignment horizontal="left" vertical="center"/>
    </xf>
    <xf numFmtId="0" fontId="23" fillId="0" borderId="6" xfId="4" applyFont="1" applyBorder="1" applyAlignment="1">
      <alignment horizontal="center" vertical="center"/>
    </xf>
    <xf numFmtId="0" fontId="23" fillId="0" borderId="11" xfId="4" applyFont="1" applyBorder="1" applyAlignment="1">
      <alignment horizontal="center" vertical="center"/>
    </xf>
    <xf numFmtId="0" fontId="23" fillId="0" borderId="14" xfId="4" applyFont="1" applyBorder="1" applyAlignment="1">
      <alignment horizontal="center" vertical="center"/>
    </xf>
    <xf numFmtId="0" fontId="23" fillId="0" borderId="13" xfId="4" applyFont="1" applyBorder="1" applyAlignment="1">
      <alignment horizontal="center" vertical="center"/>
    </xf>
    <xf numFmtId="0" fontId="14" fillId="0" borderId="0" xfId="1" applyFont="1" applyFill="1" applyBorder="1" applyAlignment="1" applyProtection="1">
      <alignment horizontal="left" vertical="center" wrapText="1" indent="3"/>
      <protection hidden="1"/>
    </xf>
    <xf numFmtId="0" fontId="23" fillId="0" borderId="6" xfId="4" applyFont="1" applyFill="1" applyBorder="1" applyAlignment="1">
      <alignment horizontal="center" vertical="center"/>
    </xf>
    <xf numFmtId="0" fontId="23" fillId="0" borderId="11" xfId="4" applyFont="1" applyFill="1" applyBorder="1" applyAlignment="1">
      <alignment horizontal="center" vertical="center"/>
    </xf>
    <xf numFmtId="0" fontId="23" fillId="0" borderId="14" xfId="4" applyFont="1" applyFill="1" applyBorder="1" applyAlignment="1">
      <alignment horizontal="center" vertical="center"/>
    </xf>
    <xf numFmtId="0" fontId="23" fillId="0" borderId="13" xfId="4" applyFont="1" applyFill="1" applyBorder="1" applyAlignment="1">
      <alignment horizontal="center" vertical="center"/>
    </xf>
    <xf numFmtId="0" fontId="14" fillId="0" borderId="5" xfId="4" applyFont="1" applyFill="1" applyBorder="1" applyAlignment="1">
      <alignment horizontal="left" vertical="center" wrapText="1" indent="3"/>
    </xf>
    <xf numFmtId="0" fontId="14" fillId="0" borderId="0" xfId="4" applyFont="1" applyFill="1" applyBorder="1" applyAlignment="1">
      <alignment horizontal="left" vertical="center" wrapText="1" indent="3"/>
    </xf>
    <xf numFmtId="0" fontId="23" fillId="0" borderId="4" xfId="4" applyFont="1" applyBorder="1" applyAlignment="1">
      <alignment horizontal="center" vertical="center"/>
    </xf>
    <xf numFmtId="0" fontId="23" fillId="0" borderId="9" xfId="4" applyFont="1" applyBorder="1" applyAlignment="1">
      <alignment horizontal="center" vertical="center"/>
    </xf>
    <xf numFmtId="0" fontId="44" fillId="0" borderId="0" xfId="0" applyFont="1" applyFill="1" applyBorder="1" applyAlignment="1">
      <alignment horizontal="left" vertical="center" wrapText="1"/>
    </xf>
    <xf numFmtId="0" fontId="23" fillId="0" borderId="0" xfId="0" applyFont="1" applyBorder="1" applyAlignment="1">
      <alignment horizontal="left" vertical="center" wrapText="1"/>
    </xf>
    <xf numFmtId="0" fontId="56" fillId="0" borderId="0" xfId="0" applyFont="1" applyFill="1" applyBorder="1" applyAlignment="1">
      <alignment horizontal="left" vertical="center" wrapText="1"/>
    </xf>
    <xf numFmtId="0" fontId="30" fillId="0" borderId="1" xfId="0" applyFont="1" applyFill="1" applyBorder="1" applyAlignment="1">
      <alignment horizontal="center" vertical="center"/>
    </xf>
    <xf numFmtId="0" fontId="30" fillId="0" borderId="3" xfId="0" applyFont="1" applyFill="1" applyBorder="1" applyAlignment="1">
      <alignment horizontal="center" vertical="center"/>
    </xf>
    <xf numFmtId="0" fontId="29" fillId="0" borderId="4" xfId="0" applyFont="1" applyBorder="1" applyAlignment="1">
      <alignment horizontal="center" vertical="center"/>
    </xf>
    <xf numFmtId="0" fontId="29" fillId="0" borderId="7" xfId="0" applyFont="1" applyBorder="1" applyAlignment="1">
      <alignment horizontal="center" vertical="center"/>
    </xf>
    <xf numFmtId="0" fontId="26" fillId="0" borderId="10" xfId="8" applyFont="1" applyBorder="1" applyAlignment="1">
      <alignment horizontal="left" vertical="center"/>
    </xf>
    <xf numFmtId="0" fontId="29" fillId="0" borderId="4" xfId="4" applyFont="1" applyBorder="1" applyAlignment="1" applyProtection="1">
      <alignment horizontal="center" vertical="center"/>
    </xf>
    <xf numFmtId="0" fontId="29" fillId="0" borderId="6" xfId="4" applyFont="1" applyBorder="1" applyAlignment="1" applyProtection="1">
      <alignment horizontal="center" vertical="center"/>
    </xf>
    <xf numFmtId="0" fontId="29" fillId="0" borderId="9" xfId="4" applyFont="1" applyBorder="1" applyAlignment="1" applyProtection="1">
      <alignment horizontal="center" vertical="center"/>
    </xf>
    <xf numFmtId="0" fontId="29" fillId="0" borderId="11" xfId="4" applyFont="1" applyBorder="1" applyAlignment="1" applyProtection="1">
      <alignment horizontal="center" vertical="center"/>
    </xf>
    <xf numFmtId="0" fontId="23" fillId="0" borderId="5" xfId="0" applyFont="1" applyBorder="1" applyAlignment="1">
      <alignment horizontal="left" vertical="center" wrapText="1"/>
    </xf>
    <xf numFmtId="0" fontId="23" fillId="0" borderId="6" xfId="0" applyFont="1" applyBorder="1" applyAlignment="1">
      <alignment horizontal="left" vertical="center" wrapText="1"/>
    </xf>
    <xf numFmtId="0" fontId="23" fillId="0" borderId="8" xfId="0" applyFont="1" applyBorder="1" applyAlignment="1">
      <alignment horizontal="left" vertical="center" wrapText="1"/>
    </xf>
    <xf numFmtId="0" fontId="29" fillId="0" borderId="4" xfId="4" applyFont="1" applyBorder="1" applyAlignment="1" applyProtection="1">
      <alignment horizontal="center" vertical="center" wrapText="1"/>
    </xf>
    <xf numFmtId="0" fontId="29" fillId="0" borderId="6" xfId="4" applyFont="1" applyBorder="1" applyAlignment="1" applyProtection="1">
      <alignment horizontal="center" vertical="center" wrapText="1"/>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3" fillId="0" borderId="14" xfId="0" applyFont="1" applyFill="1" applyBorder="1" applyAlignment="1">
      <alignment horizontal="center" vertical="center"/>
    </xf>
    <xf numFmtId="0" fontId="23" fillId="0" borderId="13" xfId="0" applyFont="1" applyFill="1" applyBorder="1" applyAlignment="1">
      <alignment horizontal="center" vertical="center"/>
    </xf>
    <xf numFmtId="10" fontId="23" fillId="0" borderId="6" xfId="0" applyNumberFormat="1" applyFont="1" applyBorder="1" applyAlignment="1">
      <alignment horizontal="center" vertical="center"/>
    </xf>
    <xf numFmtId="10" fontId="23" fillId="0" borderId="11" xfId="0" applyNumberFormat="1" applyFont="1" applyBorder="1" applyAlignment="1">
      <alignment horizontal="center" vertical="center"/>
    </xf>
    <xf numFmtId="0" fontId="64" fillId="0" borderId="5" xfId="6" applyFont="1" applyFill="1" applyBorder="1" applyAlignment="1" applyProtection="1">
      <alignment horizontal="right" vertical="center"/>
    </xf>
    <xf numFmtId="0" fontId="44" fillId="0" borderId="5" xfId="0" applyFont="1" applyFill="1" applyBorder="1" applyAlignment="1">
      <alignment horizontal="left" vertical="center"/>
    </xf>
    <xf numFmtId="0" fontId="29" fillId="0" borderId="14" xfId="4" applyFont="1" applyBorder="1" applyAlignment="1" applyProtection="1">
      <alignment horizontal="center" vertical="center" wrapText="1"/>
    </xf>
    <xf numFmtId="0" fontId="29" fillId="0" borderId="15" xfId="4" applyFont="1" applyBorder="1" applyAlignment="1" applyProtection="1">
      <alignment horizontal="center" vertical="center" wrapText="1"/>
    </xf>
    <xf numFmtId="0" fontId="29" fillId="0" borderId="13" xfId="4" applyFont="1" applyBorder="1" applyAlignment="1" applyProtection="1">
      <alignment horizontal="center" vertical="center" wrapText="1"/>
    </xf>
    <xf numFmtId="0" fontId="29" fillId="0" borderId="14" xfId="4" applyFont="1" applyBorder="1" applyAlignment="1" applyProtection="1">
      <alignment horizontal="center" vertical="center"/>
    </xf>
    <xf numFmtId="0" fontId="29" fillId="0" borderId="15" xfId="4" applyFont="1" applyBorder="1" applyAlignment="1" applyProtection="1">
      <alignment horizontal="center" vertical="center"/>
    </xf>
    <xf numFmtId="0" fontId="29" fillId="0" borderId="13" xfId="4" applyFont="1" applyBorder="1" applyAlignment="1" applyProtection="1">
      <alignment horizontal="center" vertical="center"/>
    </xf>
    <xf numFmtId="0" fontId="30" fillId="0" borderId="4"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9" xfId="0" applyFont="1" applyFill="1" applyBorder="1" applyAlignment="1">
      <alignment horizontal="center" vertical="center"/>
    </xf>
    <xf numFmtId="0" fontId="30" fillId="0" borderId="11" xfId="0" applyFont="1" applyFill="1" applyBorder="1" applyAlignment="1">
      <alignment horizontal="center" vertical="center"/>
    </xf>
    <xf numFmtId="0" fontId="11" fillId="0" borderId="0" xfId="17" applyFont="1" applyAlignment="1">
      <alignment horizontal="right"/>
    </xf>
    <xf numFmtId="0" fontId="60" fillId="0" borderId="0" xfId="22" applyFont="1" applyAlignment="1">
      <alignment horizontal="left" vertical="center"/>
    </xf>
    <xf numFmtId="0" fontId="63" fillId="0" borderId="20" xfId="17" applyFont="1" applyBorder="1" applyAlignment="1">
      <alignment horizontal="left"/>
    </xf>
    <xf numFmtId="0" fontId="9" fillId="0" borderId="0" xfId="0" applyFont="1" applyAlignment="1">
      <alignment horizontal="right"/>
    </xf>
  </cellXfs>
  <cellStyles count="30">
    <cellStyle name="60% - Accent4" xfId="29" builtinId="44"/>
    <cellStyle name="Comma" xfId="15" builtinId="3"/>
    <cellStyle name="Comma 2" xfId="19" xr:uid="{00000000-0005-0000-0000-000001000000}"/>
    <cellStyle name="Doc Code" xfId="14" xr:uid="{00000000-0005-0000-0000-000002000000}"/>
    <cellStyle name="Emission Totals" xfId="11" xr:uid="{00000000-0005-0000-0000-000003000000}"/>
    <cellStyle name="Enter Info" xfId="9" xr:uid="{00000000-0005-0000-0000-000004000000}"/>
    <cellStyle name="Explanatory Text" xfId="21" builtinId="53"/>
    <cellStyle name="Good" xfId="20" builtinId="26"/>
    <cellStyle name="Hyperlink" xfId="1" builtinId="8"/>
    <cellStyle name="Hyperlink 2" xfId="28" xr:uid="{00000000-0005-0000-0000-000008000000}"/>
    <cellStyle name="Hyperlink pca" xfId="26" xr:uid="{00000000-0005-0000-0000-000009000000}"/>
    <cellStyle name="Key Info" xfId="13" xr:uid="{00000000-0005-0000-0000-00000A000000}"/>
    <cellStyle name="Normal" xfId="0" builtinId="0"/>
    <cellStyle name="Normal 2" xfId="17" xr:uid="{00000000-0005-0000-0000-00000C000000}"/>
    <cellStyle name="Normal 2 2" xfId="23" xr:uid="{00000000-0005-0000-0000-00000D000000}"/>
    <cellStyle name="Normal 2 3" xfId="24" xr:uid="{00000000-0005-0000-0000-00000E000000}"/>
    <cellStyle name="Normal 7" xfId="25" xr:uid="{00000000-0005-0000-0000-00000F000000}"/>
    <cellStyle name="PCA Body Text" xfId="4" xr:uid="{00000000-0005-0000-0000-000010000000}"/>
    <cellStyle name="PCA Heading 1" xfId="5" xr:uid="{00000000-0005-0000-0000-000011000000}"/>
    <cellStyle name="PCA Heading 2" xfId="7" xr:uid="{00000000-0005-0000-0000-000012000000}"/>
    <cellStyle name="PCA Heading 3" xfId="8" xr:uid="{00000000-0005-0000-0000-000013000000}"/>
    <cellStyle name="PCA Hyperlink" xfId="6" xr:uid="{00000000-0005-0000-0000-000014000000}"/>
    <cellStyle name="PCA Hyperlink 2" xfId="22" xr:uid="{00000000-0005-0000-0000-000015000000}"/>
    <cellStyle name="PCA Hyperlink 2 2" xfId="27" xr:uid="{00000000-0005-0000-0000-000016000000}"/>
    <cellStyle name="PCA Subtitle" xfId="3" xr:uid="{00000000-0005-0000-0000-000017000000}"/>
    <cellStyle name="PCA Title" xfId="2" xr:uid="{00000000-0005-0000-0000-000018000000}"/>
    <cellStyle name="Permit Thresholds" xfId="16" xr:uid="{00000000-0005-0000-0000-000019000000}"/>
    <cellStyle name="Standard Value" xfId="18" xr:uid="{00000000-0005-0000-0000-00001A000000}"/>
    <cellStyle name="Standard Values" xfId="10" xr:uid="{00000000-0005-0000-0000-00001B000000}"/>
    <cellStyle name="Thresholds" xfId="12" xr:uid="{00000000-0005-0000-0000-00001C000000}"/>
  </cellStyles>
  <dxfs count="54">
    <dxf>
      <font>
        <color theme="0"/>
      </font>
    </dxf>
    <dxf>
      <font>
        <b/>
        <i/>
        <color rgb="FF008EAA"/>
      </font>
      <fill>
        <patternFill patternType="solid">
          <fgColor rgb="FFEAF8D8"/>
          <bgColor rgb="FFEAF8D8"/>
        </patternFill>
      </fill>
      <border>
        <left style="thin">
          <color auto="1"/>
        </left>
        <right style="thin">
          <color auto="1"/>
        </right>
        <top style="thin">
          <color auto="1"/>
        </top>
        <bottom style="thin">
          <color auto="1"/>
        </bottom>
        <vertical/>
        <horizontal/>
      </border>
    </dxf>
    <dxf>
      <font>
        <b/>
        <i/>
        <color rgb="FF008EAA"/>
      </font>
      <fill>
        <patternFill patternType="solid">
          <fgColor rgb="FFEAF8D8"/>
          <bgColor rgb="FFEAF8D8"/>
        </patternFill>
      </fill>
      <border>
        <left style="thin">
          <color auto="1"/>
        </left>
        <right style="thin">
          <color auto="1"/>
        </right>
        <top style="thin">
          <color auto="1"/>
        </top>
        <bottom style="thin">
          <color auto="1"/>
        </bottom>
        <vertical/>
        <horizontal/>
      </border>
    </dxf>
    <dxf>
      <font>
        <b/>
        <i/>
        <color rgb="FF008EAA"/>
      </font>
      <fill>
        <patternFill patternType="solid">
          <fgColor rgb="FFEAF8D8"/>
          <bgColor rgb="FFEAF8D8"/>
        </patternFill>
      </fill>
      <border>
        <left style="thin">
          <color auto="1"/>
        </left>
        <right style="thin">
          <color auto="1"/>
        </right>
        <top style="thin">
          <color auto="1"/>
        </top>
        <bottom style="thin">
          <color auto="1"/>
        </bottom>
        <vertical/>
        <horizontal/>
      </border>
    </dxf>
    <dxf>
      <font>
        <b/>
        <i/>
        <color rgb="FF008EAA"/>
      </font>
      <fill>
        <patternFill patternType="solid">
          <fgColor rgb="FFEAF8D8"/>
          <bgColor rgb="FFEAF8D8"/>
        </patternFill>
      </fill>
      <border>
        <left style="thin">
          <color auto="1"/>
        </left>
        <right style="thin">
          <color auto="1"/>
        </right>
        <top style="thin">
          <color auto="1"/>
        </top>
        <bottom style="thin">
          <color auto="1"/>
        </bottom>
        <vertical/>
        <horizontal/>
      </border>
    </dxf>
    <dxf>
      <fill>
        <patternFill>
          <bgColor rgb="FFFFFFCC"/>
        </patternFill>
      </fill>
    </dxf>
    <dxf>
      <font>
        <b/>
        <i/>
        <color rgb="FF008EAA"/>
      </font>
    </dxf>
    <dxf>
      <font>
        <b/>
        <i val="0"/>
        <color rgb="FF008EAA"/>
      </font>
    </dxf>
    <dxf>
      <font>
        <b/>
        <i val="0"/>
        <color rgb="FF008EAA"/>
      </font>
    </dxf>
    <dxf>
      <font>
        <b/>
        <i val="0"/>
        <color rgb="FF008EAA"/>
      </font>
    </dxf>
    <dxf>
      <font>
        <b/>
        <i/>
        <color rgb="FF008EAA"/>
      </font>
    </dxf>
    <dxf>
      <font>
        <b/>
        <i val="0"/>
        <color rgb="FF008EAA"/>
      </font>
    </dxf>
    <dxf>
      <font>
        <b/>
        <i/>
        <color rgb="FF008EAA"/>
      </font>
    </dxf>
    <dxf>
      <font>
        <b/>
        <i/>
        <color rgb="FF008EAA"/>
      </font>
    </dxf>
    <dxf>
      <font>
        <b/>
        <i val="0"/>
        <color rgb="FF008EAA"/>
      </font>
    </dxf>
    <dxf>
      <font>
        <b/>
        <i/>
        <strike val="0"/>
        <color rgb="FF008EAA"/>
      </font>
    </dxf>
    <dxf>
      <font>
        <b/>
        <i val="0"/>
        <color rgb="FF008EAA"/>
      </font>
    </dxf>
    <dxf>
      <font>
        <color theme="0"/>
      </font>
    </dxf>
    <dxf>
      <font>
        <color theme="0"/>
      </font>
    </dxf>
    <dxf>
      <font>
        <b/>
        <i val="0"/>
        <color rgb="FF008EAA"/>
      </font>
    </dxf>
    <dxf>
      <font>
        <color theme="0"/>
      </font>
    </dxf>
    <dxf>
      <font>
        <color theme="0"/>
      </font>
    </dxf>
    <dxf>
      <font>
        <b/>
        <i val="0"/>
        <color rgb="FF008EAA"/>
      </font>
    </dxf>
    <dxf>
      <font>
        <color theme="0"/>
      </font>
    </dxf>
    <dxf>
      <font>
        <color theme="0"/>
      </font>
    </dxf>
    <dxf>
      <font>
        <color theme="0"/>
      </font>
    </dxf>
    <dxf>
      <font>
        <color theme="0"/>
      </font>
    </dxf>
    <dxf>
      <font>
        <b/>
        <i val="0"/>
        <color rgb="FF008EAA"/>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EDC1"/>
      </font>
    </dxf>
    <dxf>
      <fill>
        <patternFill patternType="none">
          <bgColor auto="1"/>
        </patternFill>
      </fill>
      <border>
        <vertical/>
        <horizontal/>
      </border>
    </dxf>
    <dxf>
      <font>
        <color rgb="FFFFEDC1"/>
      </font>
    </dxf>
    <dxf>
      <fill>
        <patternFill patternType="none">
          <bgColor auto="1"/>
        </patternFill>
      </fill>
      <border>
        <vertical/>
        <horizontal/>
      </border>
    </dxf>
    <dxf>
      <font>
        <color theme="0"/>
      </font>
    </dxf>
    <dxf>
      <font>
        <color theme="0"/>
      </font>
    </dxf>
    <dxf>
      <font>
        <b val="0"/>
        <i val="0"/>
        <color auto="1"/>
      </font>
    </dxf>
    <dxf>
      <font>
        <b val="0"/>
        <i val="0"/>
        <color auto="1"/>
      </font>
    </dxf>
    <dxf>
      <font>
        <b val="0"/>
        <i val="0"/>
        <color auto="1"/>
      </font>
    </dxf>
    <dxf>
      <font>
        <b val="0"/>
        <i val="0"/>
        <color auto="1"/>
      </font>
    </dxf>
    <dxf>
      <font>
        <b val="0"/>
        <i val="0"/>
        <color auto="1"/>
      </font>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strike val="0"/>
        <condense val="0"/>
        <extend val="0"/>
        <outline val="0"/>
        <shadow val="0"/>
        <u val="none"/>
        <vertAlign val="baseline"/>
        <sz val="10"/>
        <color theme="1"/>
        <name val="Arial"/>
        <scheme val="none"/>
      </font>
    </dxf>
  </dxfs>
  <tableStyles count="0" defaultTableStyle="TableStyleMedium2" defaultPivotStyle="PivotStyleLight16"/>
  <colors>
    <mruColors>
      <color rgb="FF0000FF"/>
      <color rgb="FF008EAA"/>
      <color rgb="FFEAF8D8"/>
      <color rgb="FFFFFFCC"/>
      <color rgb="FFD1EAFF"/>
      <color rgb="FFEFFEFE"/>
      <color rgb="FFFFED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4</xdr:col>
      <xdr:colOff>542925</xdr:colOff>
      <xdr:row>1</xdr:row>
      <xdr:rowOff>161925</xdr:rowOff>
    </xdr:to>
    <xdr:pic>
      <xdr:nvPicPr>
        <xdr:cNvPr id="3" name="Picture 2" descr="Minnesota Pollution Control Agency (MPCA), 520 Lafayette Road North, St. Paul, MN 55155-4194" title="Image of MPCA logo with St. Paul office address">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66675"/>
          <a:ext cx="2390775" cy="685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381001</xdr:colOff>
      <xdr:row>82</xdr:row>
      <xdr:rowOff>19051</xdr:rowOff>
    </xdr:from>
    <xdr:to>
      <xdr:col>9</xdr:col>
      <xdr:colOff>57150</xdr:colOff>
      <xdr:row>88</xdr:row>
      <xdr:rowOff>124457</xdr:rowOff>
    </xdr:to>
    <xdr:pic>
      <xdr:nvPicPr>
        <xdr:cNvPr id="4" name="Picture 3" descr="Source: AP-42, Figure 13.2.2-1" title="Minnesota mean rain fall of 0.01 inches or more.">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38976" y="14316076"/>
          <a:ext cx="1809749" cy="124840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C02579-8823-4020-A72D-8FA3841A020B}" name="Table4" displayName="Table4" ref="A5:B14" totalsRowShown="0" headerRowDxfId="53" dataDxfId="52" headerRowCellStyle="PCA Body Text" dataCellStyle="PCA Body Text">
  <autoFilter ref="A5:B14" xr:uid="{00000000-0009-0000-0100-000004000000}"/>
  <tableColumns count="2">
    <tableColumn id="1" xr3:uid="{CDFCB140-35CB-4089-B141-4B53DE820301}" name="Engine and Fuel Type" dataDxfId="51" dataCellStyle="PCA Body Text"/>
    <tableColumn id="2" xr3:uid="{6764061D-6517-45B7-AB74-E1D39749ED27}" name="Choose one to calculate actual emissions" dataDxfId="50" dataCellStyle="PCA Body Text"/>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E098340-9299-49E9-AEAA-6E1E6601C53E}" name="Table5" displayName="Table5" ref="A16:A19" totalsRowShown="0" headerRowDxfId="49" dataDxfId="48" headerRowCellStyle="Normal 2" dataCellStyle="PCA Body Text">
  <autoFilter ref="A16:A19" xr:uid="{00000000-0009-0000-0100-000005000000}"/>
  <tableColumns count="1">
    <tableColumn id="1" xr3:uid="{90689653-EB46-40D6-B013-93F504E68D27}" name="Engine Use" dataDxfId="47" dataCellStyle="PCA Body Text"/>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ca.state.mn.us/regulations/aggregate-sand-and-gravel" TargetMode="External"/><Relationship Id="rId2" Type="http://schemas.openxmlformats.org/officeDocument/2006/relationships/hyperlink" Target="https://www.pca.state.mn.us/smallbizhelp" TargetMode="External"/><Relationship Id="rId1" Type="http://schemas.openxmlformats.org/officeDocument/2006/relationships/hyperlink" Target="mailto:smallbizhelp.pca@state.mn.u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pca.state.mn.us/sites/default/files/aq-f1-scp01.doc" TargetMode="External"/><Relationship Id="rId13" Type="http://schemas.openxmlformats.org/officeDocument/2006/relationships/printerSettings" Target="../printerSettings/printerSettings10.bin"/><Relationship Id="rId3" Type="http://schemas.openxmlformats.org/officeDocument/2006/relationships/hyperlink" Target="https://www.pca.state.mn.us/air/engines" TargetMode="External"/><Relationship Id="rId7" Type="http://schemas.openxmlformats.org/officeDocument/2006/relationships/hyperlink" Target="https://www.pca.state.mn.us/air/types-air-permits" TargetMode="External"/><Relationship Id="rId12" Type="http://schemas.openxmlformats.org/officeDocument/2006/relationships/hyperlink" Target="https://www.pca.state.mn.us/business-with-us/air-permit-types" TargetMode="External"/><Relationship Id="rId2" Type="http://schemas.openxmlformats.org/officeDocument/2006/relationships/hyperlink" Target="https://www.epa.gov/scram/air-quality-dispersion-modeling-screening-models" TargetMode="External"/><Relationship Id="rId1" Type="http://schemas.openxmlformats.org/officeDocument/2006/relationships/hyperlink" Target="https://www.pca.state.mn.us/sites/default/files/aq-f4-nm00.doc" TargetMode="External"/><Relationship Id="rId6" Type="http://schemas.openxmlformats.org/officeDocument/2006/relationships/hyperlink" Target="https://www.revisor.mn.gov/rules/7007.0300/" TargetMode="External"/><Relationship Id="rId11" Type="http://schemas.openxmlformats.org/officeDocument/2006/relationships/hyperlink" Target="https://www.pca.state.mn.us/sites/default/files/aq3-01.pdf" TargetMode="External"/><Relationship Id="rId5" Type="http://schemas.openxmlformats.org/officeDocument/2006/relationships/hyperlink" Target="https://www.revisor.mn.gov/rules/7007.1300/" TargetMode="External"/><Relationship Id="rId10" Type="http://schemas.openxmlformats.org/officeDocument/2006/relationships/hyperlink" Target="https://www.pca.state.mn.us/air/air-permit-forms-and-online-submittals" TargetMode="External"/><Relationship Id="rId4" Type="http://schemas.openxmlformats.org/officeDocument/2006/relationships/hyperlink" Target="https://www.pca.state.mn.us/sites/default/files/aq-f1-ec03.doc" TargetMode="External"/><Relationship Id="rId9" Type="http://schemas.openxmlformats.org/officeDocument/2006/relationships/hyperlink" Target="https://www.pca.state.mn.us/business-with-us/air-permit-application-forms"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3.epa.gov/ttn/chief/ap42/ch11/final/c11s1902.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ecfr.gov/cgi-bin/text-idx?SID=1ee28bcbb978abf0765153e92d9256de&amp;mc=true&amp;node=ap40.23.98_138.1&amp;rgn=div9" TargetMode="External"/><Relationship Id="rId13" Type="http://schemas.openxmlformats.org/officeDocument/2006/relationships/hyperlink" Target="https://www3.epa.gov/ttn/chief/ap42/ch03/final/c03s02.pdf" TargetMode="External"/><Relationship Id="rId18" Type="http://schemas.openxmlformats.org/officeDocument/2006/relationships/vmlDrawing" Target="../drawings/vmlDrawing1.vml"/><Relationship Id="rId3" Type="http://schemas.openxmlformats.org/officeDocument/2006/relationships/hyperlink" Target="https://www3.epa.gov/ttn/chief/ap42/ch03/final/c03s01.pdf" TargetMode="External"/><Relationship Id="rId7" Type="http://schemas.openxmlformats.org/officeDocument/2006/relationships/hyperlink" Target="https://www3.epa.gov/ttn/chief/ap42/ch03/final/c03s02.pdf" TargetMode="External"/><Relationship Id="rId12" Type="http://schemas.openxmlformats.org/officeDocument/2006/relationships/hyperlink" Target="https://www3.epa.gov/ttn/chief/ap42/ch03/final/c03s04.pdf" TargetMode="External"/><Relationship Id="rId17" Type="http://schemas.openxmlformats.org/officeDocument/2006/relationships/printerSettings" Target="../printerSettings/printerSettings12.bin"/><Relationship Id="rId2" Type="http://schemas.openxmlformats.org/officeDocument/2006/relationships/hyperlink" Target="https://www3.epa.gov/ttn/chief/ap42/ch03/final/c03s02.pdf" TargetMode="External"/><Relationship Id="rId16" Type="http://schemas.openxmlformats.org/officeDocument/2006/relationships/hyperlink" Target="https://www3.epa.gov/ttnchie1/conference/ei12/area/haneke.pdf" TargetMode="External"/><Relationship Id="rId1" Type="http://schemas.openxmlformats.org/officeDocument/2006/relationships/hyperlink" Target="https://www3.epa.gov/ttn/chief/ap42/ch03/final/c03s02.pdf" TargetMode="External"/><Relationship Id="rId6" Type="http://schemas.openxmlformats.org/officeDocument/2006/relationships/hyperlink" Target="https://www3.epa.gov/ttn/chief/ap42/ch03/final/c03s04.pdf" TargetMode="External"/><Relationship Id="rId11" Type="http://schemas.openxmlformats.org/officeDocument/2006/relationships/hyperlink" Target="https://www3.epa.gov/ttn/chief/ap42/ch03/final/c03s03.pdf" TargetMode="External"/><Relationship Id="rId5" Type="http://schemas.openxmlformats.org/officeDocument/2006/relationships/hyperlink" Target="https://www3.epa.gov/ttn/chief/ap42/ch03/final/c03s03.pdf" TargetMode="External"/><Relationship Id="rId15" Type="http://schemas.openxmlformats.org/officeDocument/2006/relationships/hyperlink" Target="https://www3.epa.gov/ttn/chief/ap42/ch03/final/c03s02.pdf" TargetMode="External"/><Relationship Id="rId10" Type="http://schemas.openxmlformats.org/officeDocument/2006/relationships/hyperlink" Target="https://www3.epa.gov/ttn/chief/ap42/ch03/final/c03s01.pdf" TargetMode="External"/><Relationship Id="rId19" Type="http://schemas.openxmlformats.org/officeDocument/2006/relationships/comments" Target="../comments1.xml"/><Relationship Id="rId4" Type="http://schemas.openxmlformats.org/officeDocument/2006/relationships/hyperlink" Target="https://www3.epa.gov/ttn/chief/ap42/ch03/final/c03s03.pdf" TargetMode="External"/><Relationship Id="rId9" Type="http://schemas.openxmlformats.org/officeDocument/2006/relationships/hyperlink" Target="https://www.ecfr.gov/cgi-bin/retrieveECFR?gp=&amp;SID=413463dedd71f779cc0452b056c8741a&amp;mc=true&amp;n=sp40.23.98.c&amp;r=SUBPART&amp;ty=HTML" TargetMode="External"/><Relationship Id="rId14" Type="http://schemas.openxmlformats.org/officeDocument/2006/relationships/hyperlink" Target="https://www3.epa.gov/ttn/chief/ap42/ch03/final/c03s02.pdf" TargetMode="External"/></Relationships>
</file>

<file path=xl/worksheets/_rels/sheet1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pca.state.mn.us/sites/default/files/aq-f3-rp07.docx" TargetMode="External"/><Relationship Id="rId13" Type="http://schemas.openxmlformats.org/officeDocument/2006/relationships/hyperlink" Target="https://www.ecfr.gov/cgi-bin/text-idx?node=sp40.7.60.uuu" TargetMode="External"/><Relationship Id="rId3" Type="http://schemas.openxmlformats.org/officeDocument/2006/relationships/hyperlink" Target="https://www.ecfr.gov/cgi-bin/text-idx?SID=4e15dfbee32ab71c4b44aecaaece2742&amp;mc=true&amp;node=sp40.8.60.iiii&amp;rgn=div6" TargetMode="External"/><Relationship Id="rId7" Type="http://schemas.openxmlformats.org/officeDocument/2006/relationships/hyperlink" Target="https://www.epa.gov/stationary-sources-air-pollution/nonmetallic-mineral-processing-new-source-performance-standards" TargetMode="External"/><Relationship Id="rId12" Type="http://schemas.openxmlformats.org/officeDocument/2006/relationships/hyperlink" Target="https://www.ecfr.gov/cgi-bin/text-idx?node=sp40.7.60.ooo" TargetMode="External"/><Relationship Id="rId2" Type="http://schemas.openxmlformats.org/officeDocument/2006/relationships/hyperlink" Target="https://regnav.app.cloud.gov/ice/ice%20-%20Storyline%20output/story_html5.html" TargetMode="External"/><Relationship Id="rId16" Type="http://schemas.openxmlformats.org/officeDocument/2006/relationships/printerSettings" Target="../printerSettings/printerSettings2.bin"/><Relationship Id="rId1" Type="http://schemas.openxmlformats.org/officeDocument/2006/relationships/hyperlink" Target="https://www.ecfr.gov/cgi-bin/text-idx?node=sp40.7.60.ooo" TargetMode="External"/><Relationship Id="rId6" Type="http://schemas.openxmlformats.org/officeDocument/2006/relationships/hyperlink" Target="https://www.ecfr.gov/cgi-bin/text-idx?SID=4e15dfbee32ab71c4b44aecaaece2742&amp;mc=true&amp;node=sp40.15.63.zzzz&amp;rgn=div6" TargetMode="External"/><Relationship Id="rId11" Type="http://schemas.openxmlformats.org/officeDocument/2006/relationships/hyperlink" Target="https://regnav.app.cloud.gov/rice/rice%20-%20Storyline%20output/story_html5.html" TargetMode="External"/><Relationship Id="rId5" Type="http://schemas.openxmlformats.org/officeDocument/2006/relationships/hyperlink" Target="https://www.ecfr.gov/cgi-bin/text-idx?node=sp40.7.60.ooo" TargetMode="External"/><Relationship Id="rId15" Type="http://schemas.openxmlformats.org/officeDocument/2006/relationships/hyperlink" Target="https://www.epa.gov/stationary-sources-air-pollution/nonmetallic-mineral-processing-new-source-performance-standards" TargetMode="External"/><Relationship Id="rId10" Type="http://schemas.openxmlformats.org/officeDocument/2006/relationships/hyperlink" Target="https://www.ecfr.gov/cgi-bin/text-idx?SID=0e74dadbf49821c0e5e5b49ef415456c&amp;mc=true&amp;node=se40.7.60_115&amp;rgn=div8" TargetMode="External"/><Relationship Id="rId4" Type="http://schemas.openxmlformats.org/officeDocument/2006/relationships/hyperlink" Target="https://www.ecfr.gov/cgi-bin/text-idx?SID=4e15dfbee32ab71c4b44aecaaece2742&amp;mc=true&amp;node=sp40.8.60.jjjj&amp;rgn=div6" TargetMode="External"/><Relationship Id="rId9" Type="http://schemas.openxmlformats.org/officeDocument/2006/relationships/hyperlink" Target="https://www.ecfr.gov/cgi-bin/text-idx?SID=26ce891695a330e9cd8a906e1c8a4bbd&amp;mc=true&amp;node=se40.7.60_12&amp;rgn=div8" TargetMode="External"/><Relationship Id="rId14" Type="http://schemas.openxmlformats.org/officeDocument/2006/relationships/hyperlink" Target="https://www.pca.state.mn.us/sites/default/files/aq-f1-gi09d.doc"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pca.state.mn.us/sites/default/files/aq-f1-scp01.doc" TargetMode="External"/><Relationship Id="rId7" Type="http://schemas.openxmlformats.org/officeDocument/2006/relationships/hyperlink" Target="https://www.revisor.mn.gov/rules/7007.1100/" TargetMode="External"/><Relationship Id="rId2" Type="http://schemas.openxmlformats.org/officeDocument/2006/relationships/hyperlink" Target="https://www.pca.state.mn.us/air/air-permit-forms-and-online-submittals" TargetMode="External"/><Relationship Id="rId1" Type="http://schemas.openxmlformats.org/officeDocument/2006/relationships/hyperlink" Target="https://www.pca.state.mn.us/sites/default/files/aq-f4-nm00.doc" TargetMode="External"/><Relationship Id="rId6" Type="http://schemas.openxmlformats.org/officeDocument/2006/relationships/hyperlink" Target="https://www.revisor.mn.gov/rules/7007.0300/" TargetMode="External"/><Relationship Id="rId5" Type="http://schemas.openxmlformats.org/officeDocument/2006/relationships/hyperlink" Target="https://www.pca.state.mn.us/air/types-air-permits" TargetMode="External"/><Relationship Id="rId4" Type="http://schemas.openxmlformats.org/officeDocument/2006/relationships/hyperlink" Target="https://www.pca.state.mn.us/air/types-air-permit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pca.state.mn.us/sites/default/files/p-sbap5-02.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revisor.mn.gov/rules/7007.1300/" TargetMode="External"/><Relationship Id="rId1" Type="http://schemas.openxmlformats.org/officeDocument/2006/relationships/hyperlink" Target="https://www.ecfr.gov/cgi-bin/retrieveECFR?gp=&amp;SID=413463dedd71f779cc0452b056c8741a&amp;mc=true&amp;n=sp40.23.98.c&amp;r=SUBPART&amp;ty=HTML"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revisor.mn.gov/rules/7007.1300/" TargetMode="External"/><Relationship Id="rId1" Type="http://schemas.openxmlformats.org/officeDocument/2006/relationships/hyperlink" Target="https://www.ecfr.gov/cgi-bin/retrieveECFR?gp=&amp;SID=413463dedd71f779cc0452b056c8741a&amp;mc=true&amp;n=sp40.23.98.c&amp;r=SUBPART&amp;ty=HTML"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nepis.epa.gov/Exe/ZyPDF.cgi/91010T54.PDF?Dockey=91010T54.PDF" TargetMode="External"/><Relationship Id="rId13" Type="http://schemas.openxmlformats.org/officeDocument/2006/relationships/printerSettings" Target="../printerSettings/printerSettings7.bin"/><Relationship Id="rId3" Type="http://schemas.openxmlformats.org/officeDocument/2006/relationships/hyperlink" Target="https://www.revisor.mn.gov/rules/?id=7007.1130" TargetMode="External"/><Relationship Id="rId7" Type="http://schemas.openxmlformats.org/officeDocument/2006/relationships/hyperlink" Target="https://nepis.epa.gov/Exe/ZyNET.exe/9101TBV5.TXT?ZyActionD=ZyDocument&amp;Client=EPA&amp;Index=1986+Thru+1990&amp;Docs=&amp;Query=&amp;Time=&amp;EndTime=&amp;SearchMethod=1&amp;TocRestrict=n&amp;Toc=&amp;TocEntry=&amp;QField=&amp;QFieldYear=&amp;QFieldMonth=&amp;QFieldDay=&amp;IntQFieldOp=0&amp;ExtQFieldOp=0&amp;XmlQuery=" TargetMode="External"/><Relationship Id="rId12" Type="http://schemas.openxmlformats.org/officeDocument/2006/relationships/hyperlink" Target="https://www.pca.state.mn.us/sites/default/files/p-sbap5-45.pdf" TargetMode="External"/><Relationship Id="rId2" Type="http://schemas.openxmlformats.org/officeDocument/2006/relationships/hyperlink" Target="https://www.revisor.mn.gov/rules/?id=7007.0200" TargetMode="External"/><Relationship Id="rId1" Type="http://schemas.openxmlformats.org/officeDocument/2006/relationships/hyperlink" Target="https://www3.epa.gov/ttn/chief/ap42/ch09/final/c9s0909-1.pdf" TargetMode="External"/><Relationship Id="rId6" Type="http://schemas.openxmlformats.org/officeDocument/2006/relationships/hyperlink" Target="https://www.ncdc.noaa.gov/ghcn/comparative-climatic-data" TargetMode="External"/><Relationship Id="rId11" Type="http://schemas.openxmlformats.org/officeDocument/2006/relationships/hyperlink" Target="https://www.epa.gov/sites/default/files/2020-10/documents/13.2.5_industrial_wind_erosion.pdf" TargetMode="External"/><Relationship Id="rId5" Type="http://schemas.openxmlformats.org/officeDocument/2006/relationships/hyperlink" Target="https://www3.epa.gov/ttn/chief/ap42/ch13/final/c13s0202.pdf" TargetMode="External"/><Relationship Id="rId10" Type="http://schemas.openxmlformats.org/officeDocument/2006/relationships/hyperlink" Target="https://www3.epa.gov/ttn/chief/ap42/ch13/final/c13s0204.pdf" TargetMode="External"/><Relationship Id="rId4" Type="http://schemas.openxmlformats.org/officeDocument/2006/relationships/hyperlink" Target="https://www.revisor.mn.gov/rules/?id=7007.1300" TargetMode="External"/><Relationship Id="rId9" Type="http://schemas.openxmlformats.org/officeDocument/2006/relationships/hyperlink" Target="https://www3.epa.gov/ttn/chief/ap42/ch13/final/c13s0202.pdf" TargetMode="External"/><Relationship Id="rId14"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CC"/>
    <pageSetUpPr fitToPage="1"/>
  </sheetPr>
  <dimension ref="A1:O28"/>
  <sheetViews>
    <sheetView showGridLines="0" tabSelected="1" zoomScaleNormal="100" zoomScaleSheetLayoutView="100" workbookViewId="0">
      <selection activeCell="B5" sqref="B5:O5"/>
    </sheetView>
  </sheetViews>
  <sheetFormatPr defaultRowHeight="15" x14ac:dyDescent="0.25"/>
  <cols>
    <col min="1" max="1" width="3.28515625" style="3" customWidth="1"/>
    <col min="2" max="2" width="10.28515625" customWidth="1"/>
    <col min="3" max="14" width="9.140625" customWidth="1"/>
    <col min="15" max="15" width="11.85546875" customWidth="1"/>
  </cols>
  <sheetData>
    <row r="1" spans="2:15" ht="46.5" customHeight="1" x14ac:dyDescent="0.25">
      <c r="B1" s="546"/>
      <c r="C1" s="546"/>
      <c r="D1" s="546"/>
      <c r="E1" s="546"/>
      <c r="F1" s="546"/>
      <c r="G1" s="544" t="s">
        <v>671</v>
      </c>
      <c r="H1" s="544"/>
      <c r="I1" s="544"/>
      <c r="J1" s="544"/>
      <c r="K1" s="544"/>
      <c r="L1" s="544"/>
      <c r="M1" s="544"/>
      <c r="N1" s="544"/>
      <c r="O1" s="544"/>
    </row>
    <row r="2" spans="2:15" s="3" customFormat="1" ht="18.75" customHeight="1" x14ac:dyDescent="0.25">
      <c r="B2" s="546"/>
      <c r="C2" s="546"/>
      <c r="D2" s="546"/>
      <c r="E2" s="546"/>
      <c r="F2" s="546"/>
      <c r="G2" s="545" t="s">
        <v>670</v>
      </c>
      <c r="H2" s="545"/>
      <c r="I2" s="545"/>
      <c r="J2" s="545"/>
      <c r="K2" s="545"/>
      <c r="L2" s="545"/>
      <c r="M2" s="545"/>
      <c r="N2" s="545"/>
      <c r="O2" s="545"/>
    </row>
    <row r="3" spans="2:15" x14ac:dyDescent="0.25">
      <c r="B3" s="546"/>
      <c r="C3" s="546"/>
      <c r="D3" s="546"/>
      <c r="E3" s="546"/>
      <c r="F3" s="546"/>
      <c r="G3" s="545"/>
      <c r="H3" s="545"/>
      <c r="I3" s="545"/>
      <c r="J3" s="545"/>
      <c r="K3" s="545"/>
      <c r="L3" s="545"/>
      <c r="M3" s="545"/>
      <c r="N3" s="545"/>
      <c r="O3" s="545"/>
    </row>
    <row r="4" spans="2:15" ht="18.75" x14ac:dyDescent="0.25">
      <c r="B4" s="543" t="s">
        <v>0</v>
      </c>
      <c r="C4" s="543"/>
      <c r="D4" s="543"/>
      <c r="E4" s="543"/>
      <c r="F4" s="543"/>
      <c r="G4" s="543"/>
      <c r="H4" s="543"/>
      <c r="I4" s="543"/>
      <c r="J4" s="543"/>
      <c r="K4" s="543"/>
      <c r="L4" s="543"/>
      <c r="M4" s="543"/>
      <c r="N4" s="543"/>
      <c r="O4" s="543"/>
    </row>
    <row r="5" spans="2:15" s="6" customFormat="1" ht="15" customHeight="1" x14ac:dyDescent="0.2">
      <c r="B5" s="547" t="s">
        <v>466</v>
      </c>
      <c r="C5" s="547"/>
      <c r="D5" s="547"/>
      <c r="E5" s="547"/>
      <c r="F5" s="547"/>
      <c r="G5" s="547"/>
      <c r="H5" s="547"/>
      <c r="I5" s="547"/>
      <c r="J5" s="547"/>
      <c r="K5" s="547"/>
      <c r="L5" s="547"/>
      <c r="M5" s="547"/>
      <c r="N5" s="547"/>
      <c r="O5" s="547"/>
    </row>
    <row r="6" spans="2:15" s="6" customFormat="1" ht="15" customHeight="1" x14ac:dyDescent="0.2">
      <c r="B6" s="548" t="s">
        <v>467</v>
      </c>
      <c r="C6" s="548"/>
      <c r="D6" s="548"/>
      <c r="E6" s="548"/>
      <c r="F6" s="548"/>
      <c r="G6" s="548"/>
      <c r="H6" s="548"/>
      <c r="I6" s="548"/>
      <c r="J6" s="548"/>
      <c r="K6" s="548"/>
      <c r="L6" s="548"/>
      <c r="M6" s="548"/>
      <c r="N6" s="548"/>
      <c r="O6" s="548"/>
    </row>
    <row r="7" spans="2:15" s="6" customFormat="1" ht="15" customHeight="1" x14ac:dyDescent="0.2">
      <c r="B7" s="548" t="s">
        <v>468</v>
      </c>
      <c r="C7" s="548"/>
      <c r="D7" s="548"/>
      <c r="E7" s="548"/>
      <c r="F7" s="548"/>
      <c r="G7" s="548"/>
      <c r="H7" s="548"/>
      <c r="I7" s="548"/>
      <c r="J7" s="548"/>
      <c r="K7" s="548"/>
      <c r="L7" s="548"/>
      <c r="M7" s="548"/>
      <c r="N7" s="548"/>
      <c r="O7" s="548"/>
    </row>
    <row r="8" spans="2:15" s="6" customFormat="1" ht="15" customHeight="1" x14ac:dyDescent="0.2">
      <c r="B8" s="549" t="s">
        <v>469</v>
      </c>
      <c r="C8" s="549"/>
      <c r="D8" s="549"/>
      <c r="E8" s="549"/>
      <c r="F8" s="549"/>
      <c r="G8" s="549"/>
      <c r="H8" s="549"/>
      <c r="I8" s="549"/>
      <c r="J8" s="549"/>
      <c r="K8" s="549"/>
      <c r="L8" s="549"/>
      <c r="M8" s="549"/>
      <c r="N8" s="549"/>
      <c r="O8" s="549"/>
    </row>
    <row r="9" spans="2:15" ht="15" customHeight="1" x14ac:dyDescent="0.25">
      <c r="B9" s="546"/>
      <c r="C9" s="546"/>
      <c r="D9" s="546"/>
      <c r="E9" s="546"/>
      <c r="F9" s="546"/>
      <c r="G9" s="546"/>
      <c r="H9" s="546"/>
      <c r="I9" s="546"/>
      <c r="J9" s="546"/>
      <c r="K9" s="546"/>
      <c r="L9" s="546"/>
      <c r="M9" s="546"/>
      <c r="N9" s="546"/>
      <c r="O9" s="546"/>
    </row>
    <row r="10" spans="2:15" ht="15" customHeight="1" x14ac:dyDescent="0.25">
      <c r="B10" s="546"/>
      <c r="C10" s="546"/>
      <c r="D10" s="546"/>
      <c r="E10" s="546"/>
      <c r="F10" s="546"/>
      <c r="G10" s="546"/>
      <c r="H10" s="546"/>
      <c r="I10" s="546"/>
      <c r="J10" s="546"/>
      <c r="K10" s="546"/>
      <c r="L10" s="546"/>
      <c r="M10" s="546"/>
      <c r="N10" s="546"/>
      <c r="O10" s="546"/>
    </row>
    <row r="11" spans="2:15" ht="18.75" x14ac:dyDescent="0.25">
      <c r="B11" s="543" t="s">
        <v>92</v>
      </c>
      <c r="C11" s="543"/>
      <c r="D11" s="543"/>
      <c r="E11" s="543"/>
      <c r="F11" s="543"/>
      <c r="G11" s="543"/>
      <c r="H11" s="543"/>
      <c r="I11" s="543"/>
      <c r="J11" s="543"/>
      <c r="K11" s="543"/>
      <c r="L11" s="543"/>
      <c r="M11" s="543"/>
      <c r="N11" s="543"/>
      <c r="O11" s="543"/>
    </row>
    <row r="12" spans="2:15" s="6" customFormat="1" ht="15" customHeight="1" x14ac:dyDescent="0.2">
      <c r="B12" s="203" t="s">
        <v>1</v>
      </c>
      <c r="C12" s="538" t="s">
        <v>2</v>
      </c>
      <c r="D12" s="538"/>
      <c r="E12" s="538"/>
      <c r="F12" s="538"/>
      <c r="G12" s="538"/>
      <c r="H12" s="538"/>
      <c r="I12" s="538"/>
      <c r="J12" s="538"/>
      <c r="K12" s="538"/>
      <c r="L12" s="538"/>
      <c r="M12" s="538"/>
      <c r="N12" s="538"/>
      <c r="O12" s="538"/>
    </row>
    <row r="13" spans="2:15" s="6" customFormat="1" ht="15" customHeight="1" x14ac:dyDescent="0.2">
      <c r="B13" s="9" t="s">
        <v>5</v>
      </c>
      <c r="C13" s="538" t="s">
        <v>6</v>
      </c>
      <c r="D13" s="538"/>
      <c r="E13" s="538"/>
      <c r="F13" s="538"/>
      <c r="G13" s="538"/>
      <c r="H13" s="538"/>
      <c r="I13" s="538"/>
      <c r="J13" s="538"/>
      <c r="K13" s="538"/>
      <c r="L13" s="538"/>
      <c r="M13" s="538"/>
      <c r="N13" s="538"/>
      <c r="O13" s="538"/>
    </row>
    <row r="14" spans="2:15" s="6" customFormat="1" ht="15" customHeight="1" x14ac:dyDescent="0.2">
      <c r="B14" s="109" t="s">
        <v>7</v>
      </c>
      <c r="C14" s="538" t="s">
        <v>87</v>
      </c>
      <c r="D14" s="538"/>
      <c r="E14" s="538"/>
      <c r="F14" s="538"/>
      <c r="G14" s="538"/>
      <c r="H14" s="538"/>
      <c r="I14" s="538"/>
      <c r="J14" s="538"/>
      <c r="K14" s="538"/>
      <c r="L14" s="538"/>
      <c r="M14" s="538"/>
      <c r="N14" s="538"/>
      <c r="O14" s="538"/>
    </row>
    <row r="15" spans="2:15" s="6" customFormat="1" ht="15" customHeight="1" x14ac:dyDescent="0.2">
      <c r="B15" s="110" t="s">
        <v>8</v>
      </c>
      <c r="C15" s="538" t="s">
        <v>86</v>
      </c>
      <c r="D15" s="538"/>
      <c r="E15" s="538"/>
      <c r="F15" s="538"/>
      <c r="G15" s="538"/>
      <c r="H15" s="538"/>
      <c r="I15" s="538"/>
      <c r="J15" s="538"/>
      <c r="K15" s="538"/>
      <c r="L15" s="538"/>
      <c r="M15" s="538"/>
      <c r="N15" s="538"/>
      <c r="O15" s="538"/>
    </row>
    <row r="16" spans="2:15" s="6" customFormat="1" ht="15" customHeight="1" x14ac:dyDescent="0.2">
      <c r="B16" s="111" t="s">
        <v>3</v>
      </c>
      <c r="C16" s="538" t="s">
        <v>4</v>
      </c>
      <c r="D16" s="538"/>
      <c r="E16" s="538"/>
      <c r="F16" s="538"/>
      <c r="G16" s="538"/>
      <c r="H16" s="538"/>
      <c r="I16" s="538"/>
      <c r="J16" s="538"/>
      <c r="K16" s="538"/>
      <c r="L16" s="538"/>
      <c r="M16" s="538"/>
      <c r="N16" s="538"/>
      <c r="O16" s="538"/>
    </row>
    <row r="17" spans="2:15" s="6" customFormat="1" ht="15" customHeight="1" x14ac:dyDescent="0.2">
      <c r="B17" s="461" t="s">
        <v>629</v>
      </c>
      <c r="C17" s="539" t="s">
        <v>95</v>
      </c>
      <c r="D17" s="539"/>
      <c r="E17" s="539"/>
      <c r="F17" s="539"/>
      <c r="G17" s="539"/>
      <c r="H17" s="539"/>
      <c r="I17" s="539"/>
      <c r="J17" s="539"/>
      <c r="K17" s="539"/>
      <c r="L17" s="539"/>
      <c r="M17" s="539"/>
      <c r="N17" s="539"/>
      <c r="O17" s="539"/>
    </row>
    <row r="18" spans="2:15" ht="15" customHeight="1" x14ac:dyDescent="0.25">
      <c r="B18" s="538"/>
      <c r="C18" s="538"/>
      <c r="D18" s="538"/>
      <c r="E18" s="538"/>
      <c r="F18" s="538"/>
      <c r="G18" s="538"/>
      <c r="H18" s="538"/>
      <c r="I18" s="538"/>
      <c r="J18" s="538"/>
      <c r="K18" s="538"/>
      <c r="L18" s="538"/>
      <c r="M18" s="538"/>
      <c r="N18" s="538"/>
      <c r="O18" s="202"/>
    </row>
    <row r="19" spans="2:15" ht="15" customHeight="1" x14ac:dyDescent="0.25">
      <c r="B19" s="538"/>
      <c r="C19" s="538"/>
      <c r="D19" s="538"/>
      <c r="E19" s="538"/>
      <c r="F19" s="538"/>
      <c r="G19" s="538"/>
      <c r="H19" s="538"/>
      <c r="I19" s="538"/>
      <c r="J19" s="538"/>
      <c r="K19" s="538"/>
      <c r="L19" s="538"/>
      <c r="M19" s="538"/>
      <c r="N19" s="538"/>
      <c r="O19" s="202"/>
    </row>
    <row r="20" spans="2:15" ht="18.75" x14ac:dyDescent="0.25">
      <c r="B20" s="543" t="s">
        <v>9</v>
      </c>
      <c r="C20" s="543"/>
      <c r="D20" s="543"/>
      <c r="E20" s="543"/>
      <c r="F20" s="543"/>
      <c r="G20" s="543"/>
      <c r="H20" s="543"/>
      <c r="I20" s="543"/>
      <c r="J20" s="543"/>
      <c r="K20" s="543"/>
      <c r="L20" s="543"/>
      <c r="M20" s="543"/>
      <c r="N20" s="543"/>
      <c r="O20" s="543"/>
    </row>
    <row r="21" spans="2:15" s="6" customFormat="1" ht="15" customHeight="1" x14ac:dyDescent="0.2">
      <c r="B21" s="536" t="s">
        <v>480</v>
      </c>
      <c r="C21" s="536"/>
      <c r="D21" s="536"/>
      <c r="E21" s="536"/>
      <c r="F21" s="536"/>
      <c r="G21" s="536"/>
      <c r="H21" s="536"/>
      <c r="I21" s="536"/>
      <c r="J21" s="536"/>
      <c r="K21" s="536"/>
      <c r="L21" s="536"/>
      <c r="M21" s="536"/>
      <c r="N21" s="536"/>
      <c r="O21" s="536"/>
    </row>
    <row r="22" spans="2:15" s="6" customFormat="1" ht="15" customHeight="1" x14ac:dyDescent="0.2">
      <c r="B22" s="536" t="s">
        <v>366</v>
      </c>
      <c r="C22" s="536"/>
      <c r="D22" s="536"/>
      <c r="E22" s="536"/>
      <c r="F22" s="536"/>
      <c r="G22" s="536"/>
      <c r="H22" s="536"/>
      <c r="I22" s="536"/>
      <c r="J22" s="536"/>
      <c r="K22" s="536"/>
      <c r="L22" s="536"/>
      <c r="M22" s="536"/>
      <c r="N22" s="536"/>
      <c r="O22" s="536"/>
    </row>
    <row r="23" spans="2:15" s="6" customFormat="1" ht="15" customHeight="1" x14ac:dyDescent="0.2">
      <c r="B23" s="8" t="s">
        <v>10</v>
      </c>
      <c r="C23" s="536" t="s">
        <v>11</v>
      </c>
      <c r="D23" s="536"/>
      <c r="E23" s="8" t="s">
        <v>12</v>
      </c>
      <c r="F23" s="535" t="s">
        <v>13</v>
      </c>
      <c r="G23" s="535"/>
      <c r="H23" s="535"/>
      <c r="I23" s="535"/>
    </row>
    <row r="24" spans="2:15" s="6" customFormat="1" ht="15" customHeight="1" x14ac:dyDescent="0.2">
      <c r="B24" s="5"/>
      <c r="C24" s="536" t="s">
        <v>14</v>
      </c>
      <c r="D24" s="536"/>
      <c r="E24" s="536"/>
      <c r="F24" s="536"/>
      <c r="G24" s="536"/>
      <c r="H24" s="536"/>
      <c r="I24" s="536"/>
      <c r="J24" s="536"/>
      <c r="K24" s="536"/>
      <c r="L24" s="536"/>
      <c r="M24" s="536"/>
      <c r="N24" s="536"/>
      <c r="O24" s="536"/>
    </row>
    <row r="25" spans="2:15" s="6" customFormat="1" ht="15" customHeight="1" x14ac:dyDescent="0.2">
      <c r="B25" s="540"/>
      <c r="C25" s="540"/>
      <c r="D25" s="7"/>
      <c r="E25" s="7"/>
      <c r="F25" s="7"/>
      <c r="G25" s="7"/>
      <c r="H25" s="7"/>
    </row>
    <row r="26" spans="2:15" s="6" customFormat="1" ht="15" customHeight="1" x14ac:dyDescent="0.2">
      <c r="B26" s="403" t="s">
        <v>474</v>
      </c>
      <c r="G26" s="537" t="s">
        <v>473</v>
      </c>
      <c r="H26" s="537"/>
      <c r="I26" s="537"/>
      <c r="J26" s="537"/>
      <c r="K26" s="537"/>
      <c r="L26" s="537"/>
      <c r="M26" s="537"/>
      <c r="N26" s="537"/>
      <c r="O26" s="537"/>
    </row>
    <row r="27" spans="2:15" s="6" customFormat="1" ht="15" customHeight="1" x14ac:dyDescent="0.2">
      <c r="B27" s="535" t="s">
        <v>94</v>
      </c>
      <c r="C27" s="535"/>
      <c r="D27" s="535"/>
      <c r="E27" s="535"/>
      <c r="F27" s="535"/>
      <c r="G27" s="541" t="s">
        <v>475</v>
      </c>
      <c r="H27" s="542"/>
      <c r="I27" s="542"/>
      <c r="J27" s="542"/>
      <c r="K27" s="542"/>
      <c r="L27" s="542"/>
      <c r="M27" s="542"/>
      <c r="N27" s="542"/>
      <c r="O27" s="542"/>
    </row>
    <row r="28" spans="2:15" ht="15" customHeight="1" x14ac:dyDescent="0.25"/>
  </sheetData>
  <mergeCells count="29">
    <mergeCell ref="C16:O16"/>
    <mergeCell ref="B20:O20"/>
    <mergeCell ref="C12:O12"/>
    <mergeCell ref="B4:O4"/>
    <mergeCell ref="G1:O1"/>
    <mergeCell ref="G2:O3"/>
    <mergeCell ref="B1:F3"/>
    <mergeCell ref="B11:O11"/>
    <mergeCell ref="B5:O5"/>
    <mergeCell ref="B6:O6"/>
    <mergeCell ref="B7:O7"/>
    <mergeCell ref="B8:O8"/>
    <mergeCell ref="B9:O10"/>
    <mergeCell ref="B27:F27"/>
    <mergeCell ref="E24:O24"/>
    <mergeCell ref="G26:O26"/>
    <mergeCell ref="C13:O13"/>
    <mergeCell ref="B18:N18"/>
    <mergeCell ref="B19:N19"/>
    <mergeCell ref="C17:O17"/>
    <mergeCell ref="B25:C25"/>
    <mergeCell ref="B21:O21"/>
    <mergeCell ref="B22:O22"/>
    <mergeCell ref="C23:D23"/>
    <mergeCell ref="C24:D24"/>
    <mergeCell ref="F23:I23"/>
    <mergeCell ref="G27:O27"/>
    <mergeCell ref="C14:O14"/>
    <mergeCell ref="C15:O15"/>
  </mergeCells>
  <hyperlinks>
    <hyperlink ref="F23" r:id="rId1" xr:uid="{00000000-0004-0000-0000-000000000000}"/>
    <hyperlink ref="B27" r:id="rId2" xr:uid="{00000000-0004-0000-0000-000001000000}"/>
    <hyperlink ref="G27" r:id="rId3" xr:uid="{00000000-0004-0000-0000-000002000000}"/>
  </hyperlinks>
  <pageMargins left="0.25" right="0.25" top="0.75" bottom="0.75" header="0.3" footer="0.3"/>
  <pageSetup fitToHeight="0" orientation="landscape" r:id="rId4"/>
  <headerFooter>
    <oddFooter>&amp;L&amp;"Arial,Italic"&amp;8p-sbap5-30&amp;C&amp;"Arial,Italic"&amp;8https://www.pca.state.mn.us  •  Available in alternative formats  •  Use your preferred relay service&amp;R&amp;10Page &amp;P of &amp;N</oddFooter>
    <firstFooter>&amp;L&amp;10Grain and Commodity Calculator - Instructions&amp;R&amp;10&amp;P</firstFooter>
  </headerFooter>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rgb="FFFFFFCC"/>
    <pageSetUpPr fitToPage="1"/>
  </sheetPr>
  <dimension ref="A1:U63"/>
  <sheetViews>
    <sheetView showGridLines="0" zoomScaleNormal="100" zoomScaleSheetLayoutView="100" zoomScalePageLayoutView="85" workbookViewId="0">
      <selection activeCell="B2" sqref="B2:I2"/>
    </sheetView>
  </sheetViews>
  <sheetFormatPr defaultColWidth="9.140625" defaultRowHeight="15" x14ac:dyDescent="0.25"/>
  <cols>
    <col min="1" max="1" width="2.5703125" style="112" customWidth="1"/>
    <col min="2" max="6" width="18" style="201" customWidth="1"/>
    <col min="7" max="9" width="18" style="112" customWidth="1"/>
    <col min="10" max="16384" width="9.140625" style="112"/>
  </cols>
  <sheetData>
    <row r="1" spans="2:9" s="2" customFormat="1" x14ac:dyDescent="0.25">
      <c r="B1" s="562" t="str">
        <f>Instructions!G2</f>
        <v>p-sbap5-30 • 7/31/25</v>
      </c>
      <c r="C1" s="562"/>
      <c r="D1" s="562"/>
      <c r="E1" s="562"/>
      <c r="F1" s="562"/>
      <c r="G1" s="562"/>
      <c r="H1" s="562"/>
      <c r="I1" s="562"/>
    </row>
    <row r="2" spans="2:9" s="2" customFormat="1" ht="19.5" thickBot="1" x14ac:dyDescent="0.3">
      <c r="B2" s="755" t="s">
        <v>478</v>
      </c>
      <c r="C2" s="755"/>
      <c r="D2" s="755"/>
      <c r="E2" s="755"/>
      <c r="F2" s="755"/>
      <c r="G2" s="755"/>
      <c r="H2" s="755"/>
      <c r="I2" s="755"/>
    </row>
    <row r="3" spans="2:9" s="18" customFormat="1" ht="15" customHeight="1" x14ac:dyDescent="0.2">
      <c r="B3" s="756" t="s">
        <v>418</v>
      </c>
      <c r="C3" s="756"/>
      <c r="D3" s="756"/>
      <c r="E3" s="756"/>
      <c r="F3" s="756"/>
      <c r="G3" s="756"/>
      <c r="H3" s="756"/>
      <c r="I3" s="756"/>
    </row>
    <row r="4" spans="2:9" s="18" customFormat="1" ht="15" customHeight="1" x14ac:dyDescent="0.2">
      <c r="B4" s="757"/>
      <c r="C4" s="757"/>
      <c r="D4" s="757"/>
      <c r="E4" s="757"/>
      <c r="F4" s="757"/>
      <c r="G4" s="757"/>
      <c r="H4" s="757"/>
      <c r="I4" s="757"/>
    </row>
    <row r="5" spans="2:9" s="18" customFormat="1" ht="15" customHeight="1" x14ac:dyDescent="0.2">
      <c r="B5" s="757"/>
      <c r="C5" s="757"/>
      <c r="D5" s="757"/>
      <c r="E5" s="757"/>
      <c r="F5" s="757"/>
      <c r="G5" s="757"/>
      <c r="H5" s="757"/>
      <c r="I5" s="757"/>
    </row>
    <row r="6" spans="2:9" s="18" customFormat="1" ht="15" customHeight="1" x14ac:dyDescent="0.2">
      <c r="B6" s="758" t="s">
        <v>419</v>
      </c>
      <c r="C6" s="758"/>
      <c r="D6" s="758"/>
      <c r="E6" s="758"/>
      <c r="F6" s="758"/>
      <c r="G6" s="758"/>
      <c r="H6" s="758"/>
      <c r="I6" s="758"/>
    </row>
    <row r="7" spans="2:9" s="18" customFormat="1" ht="14.25" customHeight="1" x14ac:dyDescent="0.2">
      <c r="B7" s="758"/>
      <c r="C7" s="758"/>
      <c r="D7" s="758"/>
      <c r="E7" s="758"/>
      <c r="F7" s="758"/>
      <c r="G7" s="758"/>
      <c r="H7" s="758"/>
      <c r="I7" s="758"/>
    </row>
    <row r="8" spans="2:9" s="18" customFormat="1" ht="14.25" customHeight="1" x14ac:dyDescent="0.2">
      <c r="B8" s="371"/>
      <c r="C8" s="371"/>
      <c r="D8" s="371"/>
      <c r="E8" s="371"/>
      <c r="F8" s="371"/>
      <c r="G8" s="371"/>
      <c r="H8" s="371"/>
      <c r="I8" s="371"/>
    </row>
    <row r="9" spans="2:9" s="18" customFormat="1" ht="15" customHeight="1" x14ac:dyDescent="0.2">
      <c r="B9" s="759" t="s">
        <v>213</v>
      </c>
      <c r="C9" s="759"/>
      <c r="D9" s="759"/>
      <c r="E9" s="760"/>
      <c r="F9" s="761" t="s">
        <v>420</v>
      </c>
      <c r="G9" s="759"/>
      <c r="H9" s="759"/>
      <c r="I9" s="759"/>
    </row>
    <row r="10" spans="2:9" s="18" customFormat="1" ht="15" customHeight="1" x14ac:dyDescent="0.2">
      <c r="B10" s="765" t="s">
        <v>421</v>
      </c>
      <c r="C10" s="765"/>
      <c r="D10" s="765"/>
      <c r="E10" s="766"/>
      <c r="F10" s="762"/>
      <c r="G10" s="759"/>
      <c r="H10" s="759"/>
      <c r="I10" s="759"/>
    </row>
    <row r="11" spans="2:9" s="18" customFormat="1" ht="15" customHeight="1" x14ac:dyDescent="0.2">
      <c r="B11" s="747" t="s">
        <v>422</v>
      </c>
      <c r="C11" s="747" t="s">
        <v>423</v>
      </c>
      <c r="D11" s="747" t="s">
        <v>228</v>
      </c>
      <c r="E11" s="747" t="s">
        <v>227</v>
      </c>
      <c r="F11" s="762"/>
      <c r="G11" s="759"/>
      <c r="H11" s="759"/>
      <c r="I11" s="759"/>
    </row>
    <row r="12" spans="2:9" s="18" customFormat="1" ht="15" customHeight="1" x14ac:dyDescent="0.2">
      <c r="B12" s="747"/>
      <c r="C12" s="747"/>
      <c r="D12" s="747"/>
      <c r="E12" s="747"/>
      <c r="F12" s="762"/>
      <c r="G12" s="759"/>
      <c r="H12" s="759"/>
      <c r="I12" s="759"/>
    </row>
    <row r="13" spans="2:9" s="18" customFormat="1" ht="15" customHeight="1" x14ac:dyDescent="0.2">
      <c r="B13" s="767" t="str">
        <f>IF('Data validation'!C22="yes","do","do not")</f>
        <v>do not</v>
      </c>
      <c r="C13" s="767" t="str">
        <f>IF('Data validation'!C25="yes","do","do not")</f>
        <v>do not</v>
      </c>
      <c r="D13" s="767" t="str">
        <f>IF('Data validation'!C17&gt;0,"Return to Federal tab and answer all Y/N questions",IF(AND('Data validation'!C17=0,'Data validation'!C12&gt;0),"does","does not"))</f>
        <v>Return to Federal tab and answer all Y/N questions</v>
      </c>
      <c r="E13" s="768" t="str">
        <f>IF('Federal standards'!N61="Choose Y/N","Return to Federal tab and answer all Y/N questions",IF('Federal standards'!N61="Yes","does",IF('Federal standards'!N61="No","does not")))</f>
        <v>Return to Federal tab and answer all Y/N questions</v>
      </c>
      <c r="F13" s="762"/>
      <c r="G13" s="759"/>
      <c r="H13" s="759"/>
      <c r="I13" s="759"/>
    </row>
    <row r="14" spans="2:9" s="18" customFormat="1" ht="15" customHeight="1" x14ac:dyDescent="0.2">
      <c r="B14" s="767"/>
      <c r="C14" s="767"/>
      <c r="D14" s="767"/>
      <c r="E14" s="768"/>
      <c r="F14" s="762"/>
      <c r="G14" s="759"/>
      <c r="H14" s="759"/>
      <c r="I14" s="759"/>
    </row>
    <row r="15" spans="2:9" s="18" customFormat="1" ht="15" customHeight="1" x14ac:dyDescent="0.2">
      <c r="B15" s="767"/>
      <c r="C15" s="767"/>
      <c r="D15" s="767"/>
      <c r="E15" s="768"/>
      <c r="F15" s="762"/>
      <c r="G15" s="759"/>
      <c r="H15" s="759"/>
      <c r="I15" s="759"/>
    </row>
    <row r="16" spans="2:9" s="18" customFormat="1" ht="15" customHeight="1" x14ac:dyDescent="0.2">
      <c r="B16" s="747" t="s">
        <v>224</v>
      </c>
      <c r="C16" s="747" t="s">
        <v>225</v>
      </c>
      <c r="D16" s="747" t="s">
        <v>226</v>
      </c>
      <c r="E16" s="747" t="s">
        <v>226</v>
      </c>
      <c r="F16" s="762"/>
      <c r="G16" s="759"/>
      <c r="H16" s="759"/>
      <c r="I16" s="759"/>
    </row>
    <row r="17" spans="1:21" s="18" customFormat="1" ht="15" customHeight="1" x14ac:dyDescent="0.2">
      <c r="B17" s="748"/>
      <c r="C17" s="748"/>
      <c r="D17" s="748"/>
      <c r="E17" s="748"/>
      <c r="F17" s="763"/>
      <c r="G17" s="764"/>
      <c r="H17" s="764"/>
      <c r="I17" s="764"/>
    </row>
    <row r="18" spans="1:21" s="18" customFormat="1" ht="15" customHeight="1" x14ac:dyDescent="0.2">
      <c r="B18" s="749" t="s">
        <v>235</v>
      </c>
      <c r="C18" s="752" t="s">
        <v>236</v>
      </c>
      <c r="D18" s="752" t="s">
        <v>424</v>
      </c>
      <c r="E18" s="752" t="s">
        <v>237</v>
      </c>
      <c r="F18" s="769" t="s">
        <v>442</v>
      </c>
      <c r="G18" s="770"/>
      <c r="H18" s="775" t="s">
        <v>425</v>
      </c>
      <c r="I18" s="769" t="s">
        <v>72</v>
      </c>
    </row>
    <row r="19" spans="1:21" s="18" customFormat="1" ht="15" customHeight="1" x14ac:dyDescent="0.2">
      <c r="B19" s="750"/>
      <c r="C19" s="753"/>
      <c r="D19" s="753"/>
      <c r="E19" s="753"/>
      <c r="F19" s="771"/>
      <c r="G19" s="772"/>
      <c r="H19" s="776"/>
      <c r="I19" s="771"/>
    </row>
    <row r="20" spans="1:21" s="18" customFormat="1" ht="15" customHeight="1" x14ac:dyDescent="0.2">
      <c r="B20" s="751"/>
      <c r="C20" s="754"/>
      <c r="D20" s="754"/>
      <c r="E20" s="754"/>
      <c r="F20" s="773"/>
      <c r="G20" s="774"/>
      <c r="H20" s="777"/>
      <c r="I20" s="773"/>
    </row>
    <row r="21" spans="1:21" s="18" customFormat="1" ht="15" customHeight="1" x14ac:dyDescent="0.2">
      <c r="B21" s="809" t="s">
        <v>65</v>
      </c>
      <c r="C21" s="811" t="s">
        <v>62</v>
      </c>
      <c r="D21" s="372" t="s">
        <v>65</v>
      </c>
      <c r="E21" s="778" t="s">
        <v>214</v>
      </c>
      <c r="F21" s="781" t="s">
        <v>426</v>
      </c>
      <c r="G21" s="781"/>
      <c r="H21" s="373" t="s">
        <v>62</v>
      </c>
      <c r="I21" s="374" t="s">
        <v>62</v>
      </c>
    </row>
    <row r="22" spans="1:21" s="18" customFormat="1" ht="15" customHeight="1" x14ac:dyDescent="0.2">
      <c r="B22" s="810"/>
      <c r="C22" s="812"/>
      <c r="D22" s="372" t="s">
        <v>66</v>
      </c>
      <c r="E22" s="779"/>
      <c r="F22" s="781" t="s">
        <v>67</v>
      </c>
      <c r="G22" s="781"/>
      <c r="H22" s="782" t="s">
        <v>68</v>
      </c>
      <c r="I22" s="785" t="s">
        <v>628</v>
      </c>
    </row>
    <row r="23" spans="1:21" s="18" customFormat="1" ht="15" customHeight="1" x14ac:dyDescent="0.2">
      <c r="B23" s="814" t="s">
        <v>66</v>
      </c>
      <c r="C23" s="816" t="s">
        <v>65</v>
      </c>
      <c r="D23" s="372" t="s">
        <v>65</v>
      </c>
      <c r="E23" s="779"/>
      <c r="F23" s="820" t="s">
        <v>69</v>
      </c>
      <c r="G23" s="809"/>
      <c r="H23" s="783"/>
      <c r="I23" s="786"/>
    </row>
    <row r="24" spans="1:21" s="18" customFormat="1" ht="15" customHeight="1" x14ac:dyDescent="0.2">
      <c r="B24" s="815"/>
      <c r="C24" s="817"/>
      <c r="D24" s="372" t="s">
        <v>66</v>
      </c>
      <c r="E24" s="779"/>
      <c r="F24" s="821"/>
      <c r="G24" s="810"/>
      <c r="H24" s="784"/>
      <c r="I24" s="787"/>
    </row>
    <row r="25" spans="1:21" s="18" customFormat="1" ht="15" customHeight="1" x14ac:dyDescent="0.2">
      <c r="B25" s="814" t="s">
        <v>66</v>
      </c>
      <c r="C25" s="816" t="s">
        <v>66</v>
      </c>
      <c r="D25" s="372" t="s">
        <v>65</v>
      </c>
      <c r="E25" s="779"/>
      <c r="F25" s="820" t="s">
        <v>427</v>
      </c>
      <c r="G25" s="809"/>
      <c r="H25" s="788" t="s">
        <v>428</v>
      </c>
      <c r="I25" s="788" t="s">
        <v>71</v>
      </c>
    </row>
    <row r="26" spans="1:21" s="18" customFormat="1" ht="15" customHeight="1" x14ac:dyDescent="0.2">
      <c r="B26" s="815"/>
      <c r="C26" s="817"/>
      <c r="D26" s="372" t="s">
        <v>66</v>
      </c>
      <c r="E26" s="780"/>
      <c r="F26" s="821"/>
      <c r="G26" s="810"/>
      <c r="H26" s="788"/>
      <c r="I26" s="788"/>
    </row>
    <row r="27" spans="1:21" s="18" customFormat="1" ht="15" customHeight="1" x14ac:dyDescent="0.2">
      <c r="B27" s="818" t="s">
        <v>441</v>
      </c>
      <c r="C27" s="818"/>
      <c r="D27" s="818"/>
      <c r="E27" s="818"/>
      <c r="F27" s="818"/>
      <c r="G27" s="818"/>
      <c r="H27" s="818"/>
      <c r="I27" s="792" t="s">
        <v>381</v>
      </c>
    </row>
    <row r="28" spans="1:21" s="18" customFormat="1" ht="15" customHeight="1" x14ac:dyDescent="0.2">
      <c r="B28" s="819"/>
      <c r="C28" s="819"/>
      <c r="D28" s="819"/>
      <c r="E28" s="819"/>
      <c r="F28" s="819"/>
      <c r="G28" s="819"/>
      <c r="H28" s="819"/>
      <c r="I28" s="793"/>
    </row>
    <row r="29" spans="1:21" s="18" customFormat="1" ht="15" customHeight="1" x14ac:dyDescent="0.2">
      <c r="B29" s="819"/>
      <c r="C29" s="819"/>
      <c r="D29" s="819"/>
      <c r="E29" s="819"/>
      <c r="F29" s="819"/>
      <c r="G29" s="819"/>
      <c r="H29" s="819"/>
      <c r="I29" s="793"/>
    </row>
    <row r="30" spans="1:21" s="18" customFormat="1" ht="15" customHeight="1" x14ac:dyDescent="0.2">
      <c r="B30" s="819"/>
      <c r="C30" s="819"/>
      <c r="D30" s="819"/>
      <c r="E30" s="819"/>
      <c r="F30" s="819"/>
      <c r="G30" s="819"/>
      <c r="H30" s="819"/>
      <c r="I30" s="793"/>
    </row>
    <row r="31" spans="1:21" s="381" customFormat="1" ht="14.25" x14ac:dyDescent="0.2">
      <c r="A31" s="375"/>
      <c r="B31" s="376"/>
      <c r="C31" s="376"/>
      <c r="D31" s="377"/>
      <c r="E31" s="378"/>
      <c r="F31" s="376"/>
      <c r="G31" s="376"/>
      <c r="H31" s="379"/>
      <c r="I31" s="379"/>
      <c r="J31" s="380"/>
      <c r="K31" s="380"/>
      <c r="L31" s="380"/>
      <c r="M31" s="380"/>
      <c r="N31" s="380"/>
      <c r="O31" s="380"/>
      <c r="P31" s="380"/>
      <c r="Q31" s="380"/>
      <c r="R31" s="380"/>
      <c r="S31" s="380"/>
      <c r="T31" s="380"/>
      <c r="U31" s="380"/>
    </row>
    <row r="32" spans="1:21" s="381" customFormat="1" ht="14.25" customHeight="1" x14ac:dyDescent="0.2">
      <c r="A32" s="375"/>
      <c r="B32" s="789" t="s">
        <v>282</v>
      </c>
      <c r="C32" s="789"/>
      <c r="D32" s="789"/>
      <c r="E32" s="789"/>
      <c r="F32" s="789"/>
      <c r="G32" s="789"/>
      <c r="H32" s="789"/>
      <c r="I32" s="789"/>
      <c r="J32" s="380"/>
      <c r="K32" s="380"/>
      <c r="L32" s="380"/>
      <c r="M32" s="380"/>
      <c r="N32" s="380"/>
      <c r="O32" s="380"/>
      <c r="P32" s="380"/>
      <c r="Q32" s="380"/>
      <c r="R32" s="380"/>
      <c r="S32" s="380"/>
      <c r="T32" s="380"/>
      <c r="U32" s="380"/>
    </row>
    <row r="33" spans="1:21" ht="15" customHeight="1" x14ac:dyDescent="0.25">
      <c r="A33" s="115"/>
      <c r="B33" s="813" t="s">
        <v>470</v>
      </c>
      <c r="C33" s="813"/>
      <c r="D33" s="813"/>
      <c r="E33" s="813"/>
      <c r="F33" s="813"/>
      <c r="G33" s="813"/>
      <c r="H33" s="813"/>
      <c r="I33" s="813"/>
    </row>
    <row r="34" spans="1:21" x14ac:dyDescent="0.25">
      <c r="A34" s="115"/>
      <c r="B34" s="813"/>
      <c r="C34" s="813"/>
      <c r="D34" s="813"/>
      <c r="E34" s="813"/>
      <c r="F34" s="813"/>
      <c r="G34" s="813"/>
      <c r="H34" s="813"/>
      <c r="I34" s="813"/>
    </row>
    <row r="35" spans="1:21" ht="15" customHeight="1" x14ac:dyDescent="0.25">
      <c r="A35" s="115"/>
      <c r="B35" s="794" t="s">
        <v>215</v>
      </c>
      <c r="C35" s="794"/>
      <c r="D35" s="794"/>
      <c r="E35" s="794"/>
      <c r="F35" s="794"/>
      <c r="G35" s="794"/>
    </row>
    <row r="36" spans="1:21" x14ac:dyDescent="0.25">
      <c r="A36" s="115"/>
      <c r="B36" s="388"/>
      <c r="C36" s="795" t="s">
        <v>277</v>
      </c>
      <c r="D36" s="795"/>
      <c r="E36" s="795" t="s">
        <v>278</v>
      </c>
      <c r="F36" s="795"/>
    </row>
    <row r="37" spans="1:21" ht="15" customHeight="1" x14ac:dyDescent="0.25">
      <c r="A37" s="115"/>
      <c r="B37" s="200"/>
      <c r="C37" s="795"/>
      <c r="D37" s="795"/>
      <c r="E37" s="795"/>
      <c r="F37" s="795"/>
    </row>
    <row r="38" spans="1:21" x14ac:dyDescent="0.25">
      <c r="A38" s="115"/>
      <c r="B38" s="200"/>
      <c r="C38" s="795"/>
      <c r="D38" s="795"/>
      <c r="E38" s="795"/>
      <c r="F38" s="795"/>
    </row>
    <row r="39" spans="1:21" x14ac:dyDescent="0.25">
      <c r="A39" s="115"/>
      <c r="B39" s="200"/>
      <c r="C39" s="796" t="s">
        <v>70</v>
      </c>
      <c r="D39" s="796"/>
      <c r="E39" s="797" t="s">
        <v>286</v>
      </c>
      <c r="F39" s="797"/>
    </row>
    <row r="40" spans="1:21" x14ac:dyDescent="0.25">
      <c r="A40" s="115"/>
      <c r="B40" s="200"/>
      <c r="C40" s="227"/>
      <c r="D40" s="227"/>
      <c r="E40" s="228"/>
      <c r="F40" s="228"/>
    </row>
    <row r="41" spans="1:21" s="18" customFormat="1" ht="15" customHeight="1" x14ac:dyDescent="0.2">
      <c r="B41" s="789" t="s">
        <v>429</v>
      </c>
      <c r="C41" s="789"/>
      <c r="D41" s="790" t="s">
        <v>411</v>
      </c>
      <c r="E41" s="790"/>
      <c r="F41" s="382"/>
      <c r="G41" s="382"/>
      <c r="H41" s="382"/>
      <c r="I41" s="382"/>
      <c r="J41" s="383"/>
      <c r="K41" s="383"/>
      <c r="L41" s="383"/>
      <c r="M41" s="383"/>
      <c r="N41" s="383"/>
      <c r="O41" s="383"/>
      <c r="P41" s="383"/>
      <c r="Q41" s="383"/>
      <c r="R41" s="383"/>
      <c r="S41" s="383"/>
      <c r="T41" s="383"/>
      <c r="U41" s="383"/>
    </row>
    <row r="42" spans="1:21" s="18" customFormat="1" ht="15" customHeight="1" x14ac:dyDescent="0.2">
      <c r="B42" s="299" t="s">
        <v>430</v>
      </c>
      <c r="C42" s="791" t="s">
        <v>431</v>
      </c>
      <c r="D42" s="791"/>
      <c r="E42" s="791"/>
      <c r="F42" s="791"/>
      <c r="G42" s="791"/>
      <c r="H42" s="791"/>
      <c r="I42" s="791"/>
      <c r="J42" s="383"/>
      <c r="K42" s="383"/>
      <c r="L42" s="383"/>
      <c r="M42" s="383"/>
      <c r="N42" s="383"/>
      <c r="O42" s="383"/>
      <c r="P42" s="383"/>
      <c r="Q42" s="383"/>
      <c r="R42" s="383"/>
      <c r="S42" s="383"/>
      <c r="T42" s="383"/>
      <c r="U42" s="383"/>
    </row>
    <row r="43" spans="1:21" s="18" customFormat="1" ht="15" customHeight="1" x14ac:dyDescent="0.2">
      <c r="B43" s="299" t="s">
        <v>432</v>
      </c>
      <c r="C43" s="791" t="s">
        <v>433</v>
      </c>
      <c r="D43" s="791"/>
      <c r="E43" s="791"/>
      <c r="F43" s="791"/>
      <c r="G43" s="791"/>
      <c r="H43" s="791"/>
      <c r="I43" s="791"/>
      <c r="J43" s="383"/>
      <c r="K43" s="383"/>
      <c r="L43" s="383"/>
      <c r="M43" s="383"/>
      <c r="N43" s="383"/>
      <c r="O43" s="383"/>
      <c r="P43" s="383"/>
      <c r="Q43" s="383"/>
      <c r="R43" s="383"/>
      <c r="S43" s="383"/>
      <c r="T43" s="383"/>
      <c r="U43" s="383"/>
    </row>
    <row r="44" spans="1:21" s="2" customFormat="1" x14ac:dyDescent="0.25">
      <c r="A44" s="18"/>
      <c r="B44" s="299" t="s">
        <v>434</v>
      </c>
      <c r="C44" s="798" t="s">
        <v>435</v>
      </c>
      <c r="D44" s="798"/>
      <c r="E44" s="798"/>
      <c r="F44" s="798"/>
      <c r="G44" s="798"/>
      <c r="H44" s="798"/>
      <c r="I44" s="798"/>
      <c r="J44" s="375"/>
      <c r="K44" s="375"/>
      <c r="L44" s="375"/>
      <c r="M44" s="375"/>
      <c r="N44" s="375"/>
      <c r="O44" s="375"/>
      <c r="P44" s="375"/>
      <c r="Q44" s="375"/>
      <c r="R44" s="375"/>
      <c r="S44" s="375"/>
      <c r="T44" s="375"/>
      <c r="U44" s="375"/>
    </row>
    <row r="45" spans="1:21" s="2" customFormat="1" x14ac:dyDescent="0.25">
      <c r="A45" s="18"/>
      <c r="B45" s="299"/>
      <c r="C45" s="798"/>
      <c r="D45" s="798"/>
      <c r="E45" s="798"/>
      <c r="F45" s="798"/>
      <c r="G45" s="798"/>
      <c r="H45" s="798"/>
      <c r="I45" s="798"/>
      <c r="J45" s="375"/>
      <c r="K45" s="375"/>
      <c r="L45" s="375"/>
      <c r="M45" s="375"/>
      <c r="N45" s="375"/>
      <c r="O45" s="375"/>
      <c r="P45" s="375"/>
      <c r="Q45" s="375"/>
      <c r="R45" s="375"/>
      <c r="S45" s="375"/>
      <c r="T45" s="375"/>
      <c r="U45" s="375"/>
    </row>
    <row r="46" spans="1:21" s="2" customFormat="1" x14ac:dyDescent="0.25">
      <c r="A46" s="18"/>
      <c r="B46" s="799" t="s">
        <v>436</v>
      </c>
      <c r="C46" s="799"/>
      <c r="D46" s="799"/>
      <c r="E46" s="799"/>
      <c r="F46" s="799"/>
      <c r="G46" s="799"/>
      <c r="H46" s="799"/>
      <c r="I46" s="799"/>
      <c r="J46" s="375"/>
      <c r="K46" s="375"/>
      <c r="L46" s="375"/>
      <c r="M46" s="375"/>
      <c r="N46" s="375"/>
      <c r="O46" s="375"/>
      <c r="P46" s="375"/>
      <c r="Q46" s="375"/>
      <c r="R46" s="375"/>
      <c r="S46" s="375"/>
      <c r="T46" s="375"/>
      <c r="U46" s="375"/>
    </row>
    <row r="47" spans="1:21" s="2" customFormat="1" x14ac:dyDescent="0.25">
      <c r="A47" s="18"/>
      <c r="B47" s="799"/>
      <c r="C47" s="799"/>
      <c r="D47" s="799"/>
      <c r="E47" s="799"/>
      <c r="F47" s="799"/>
      <c r="G47" s="799"/>
      <c r="H47" s="799"/>
      <c r="I47" s="799"/>
      <c r="J47" s="375"/>
      <c r="K47" s="375"/>
      <c r="L47" s="375"/>
      <c r="M47" s="375"/>
      <c r="N47" s="375"/>
      <c r="O47" s="375"/>
      <c r="P47" s="375"/>
      <c r="Q47" s="375"/>
      <c r="R47" s="375"/>
      <c r="S47" s="375"/>
      <c r="T47" s="375"/>
      <c r="U47" s="375"/>
    </row>
    <row r="48" spans="1:21" s="2" customFormat="1" x14ac:dyDescent="0.25">
      <c r="A48" s="18"/>
      <c r="B48" s="799"/>
      <c r="C48" s="799"/>
      <c r="D48" s="799"/>
      <c r="E48" s="799"/>
      <c r="F48" s="799"/>
      <c r="G48" s="799"/>
      <c r="H48" s="799"/>
      <c r="I48" s="799"/>
      <c r="J48" s="375"/>
      <c r="K48" s="375"/>
      <c r="L48" s="375"/>
      <c r="M48" s="375"/>
      <c r="N48" s="375"/>
      <c r="O48" s="375"/>
      <c r="P48" s="375"/>
      <c r="Q48" s="375"/>
      <c r="R48" s="375"/>
      <c r="S48" s="375"/>
      <c r="T48" s="375"/>
      <c r="U48" s="375"/>
    </row>
    <row r="49" spans="1:21" s="2" customFormat="1" ht="15" customHeight="1" x14ac:dyDescent="0.25">
      <c r="A49" s="384"/>
      <c r="B49" s="800" t="s">
        <v>437</v>
      </c>
      <c r="C49" s="800"/>
      <c r="D49" s="800"/>
      <c r="E49" s="800"/>
      <c r="F49" s="800"/>
      <c r="G49" s="800"/>
      <c r="H49" s="800"/>
      <c r="I49" s="800"/>
      <c r="J49" s="375"/>
      <c r="K49" s="375"/>
      <c r="L49" s="375"/>
      <c r="M49" s="375"/>
      <c r="N49" s="375"/>
      <c r="O49" s="375"/>
      <c r="P49" s="375"/>
      <c r="Q49" s="375"/>
      <c r="R49" s="375"/>
      <c r="S49" s="375"/>
      <c r="T49" s="375"/>
      <c r="U49" s="375"/>
    </row>
    <row r="50" spans="1:21" s="2" customFormat="1" x14ac:dyDescent="0.25">
      <c r="A50" s="18"/>
      <c r="B50" s="385"/>
      <c r="C50" s="385"/>
      <c r="D50" s="385"/>
      <c r="E50" s="385"/>
      <c r="F50" s="385"/>
      <c r="G50" s="385"/>
      <c r="H50" s="385"/>
      <c r="I50" s="385"/>
      <c r="J50" s="375"/>
      <c r="K50" s="375"/>
      <c r="L50" s="375"/>
      <c r="M50" s="375"/>
      <c r="N50" s="375"/>
      <c r="O50" s="375"/>
      <c r="P50" s="375"/>
      <c r="Q50" s="375"/>
      <c r="R50" s="375"/>
      <c r="S50" s="375"/>
      <c r="T50" s="375"/>
      <c r="U50" s="375"/>
    </row>
    <row r="51" spans="1:21" s="18" customFormat="1" ht="15" customHeight="1" x14ac:dyDescent="0.2">
      <c r="B51" s="789" t="s">
        <v>281</v>
      </c>
      <c r="C51" s="789"/>
      <c r="D51" s="789"/>
      <c r="E51" s="789"/>
      <c r="F51" s="386"/>
    </row>
    <row r="52" spans="1:21" s="18" customFormat="1" ht="15" customHeight="1" x14ac:dyDescent="0.2">
      <c r="B52" s="801" t="s">
        <v>280</v>
      </c>
      <c r="C52" s="801"/>
      <c r="D52" s="801"/>
      <c r="E52" s="801"/>
      <c r="F52" s="801"/>
    </row>
    <row r="53" spans="1:21" s="18" customFormat="1" ht="15" customHeight="1" x14ac:dyDescent="0.2">
      <c r="B53" s="802" t="s">
        <v>438</v>
      </c>
      <c r="C53" s="802"/>
      <c r="D53" s="802"/>
      <c r="E53" s="802"/>
      <c r="F53" s="802"/>
    </row>
    <row r="54" spans="1:21" s="18" customFormat="1" ht="15" customHeight="1" x14ac:dyDescent="0.2">
      <c r="B54" s="802" t="s">
        <v>439</v>
      </c>
      <c r="C54" s="802"/>
      <c r="D54" s="802"/>
      <c r="E54" s="802"/>
      <c r="F54" s="387"/>
    </row>
    <row r="55" spans="1:21" s="18" customFormat="1" ht="15" customHeight="1" x14ac:dyDescent="0.2">
      <c r="B55" s="802" t="s">
        <v>216</v>
      </c>
      <c r="C55" s="802"/>
      <c r="D55" s="802"/>
      <c r="E55" s="802"/>
      <c r="F55" s="387"/>
    </row>
    <row r="56" spans="1:21" s="18" customFormat="1" ht="15" customHeight="1" x14ac:dyDescent="0.2">
      <c r="B56" s="387"/>
      <c r="C56" s="387"/>
      <c r="D56" s="387"/>
      <c r="E56" s="387"/>
      <c r="F56" s="387"/>
    </row>
    <row r="57" spans="1:21" s="18" customFormat="1" ht="14.25" x14ac:dyDescent="0.2">
      <c r="B57" s="801" t="s">
        <v>440</v>
      </c>
      <c r="C57" s="801"/>
      <c r="D57" s="801"/>
      <c r="E57" s="801"/>
      <c r="F57" s="801"/>
      <c r="G57" s="801"/>
      <c r="H57" s="801"/>
      <c r="I57" s="801"/>
    </row>
    <row r="58" spans="1:21" s="18" customFormat="1" ht="15" customHeight="1" x14ac:dyDescent="0.2">
      <c r="B58" s="803" t="s">
        <v>217</v>
      </c>
      <c r="C58" s="803"/>
      <c r="D58" s="803"/>
      <c r="E58" s="803"/>
      <c r="F58" s="803"/>
    </row>
    <row r="59" spans="1:21" s="18" customFormat="1" ht="15" customHeight="1" x14ac:dyDescent="0.2">
      <c r="B59" s="804" t="s">
        <v>218</v>
      </c>
      <c r="C59" s="804"/>
      <c r="D59" s="804"/>
      <c r="E59" s="804"/>
      <c r="F59" s="804"/>
    </row>
    <row r="60" spans="1:21" s="18" customFormat="1" ht="15" customHeight="1" x14ac:dyDescent="0.2">
      <c r="B60" s="805" t="s">
        <v>219</v>
      </c>
      <c r="C60" s="805"/>
      <c r="D60" s="805"/>
      <c r="E60" s="805"/>
      <c r="F60" s="805"/>
    </row>
    <row r="61" spans="1:21" s="18" customFormat="1" ht="15" customHeight="1" x14ac:dyDescent="0.2">
      <c r="B61" s="806"/>
      <c r="C61" s="806"/>
      <c r="D61" s="806"/>
      <c r="E61" s="806"/>
      <c r="F61" s="806"/>
    </row>
    <row r="62" spans="1:21" s="18" customFormat="1" ht="15" customHeight="1" x14ac:dyDescent="0.2">
      <c r="B62" s="807" t="s">
        <v>279</v>
      </c>
      <c r="C62" s="807"/>
      <c r="D62" s="808" t="s">
        <v>220</v>
      </c>
      <c r="E62" s="808"/>
      <c r="F62" s="808"/>
    </row>
    <row r="63" spans="1:21" s="18" customFormat="1" ht="15" customHeight="1" x14ac:dyDescent="0.2">
      <c r="B63" s="384"/>
      <c r="C63" s="384"/>
      <c r="D63" s="384"/>
      <c r="E63" s="384"/>
      <c r="F63" s="384"/>
    </row>
  </sheetData>
  <protectedRanges>
    <protectedRange sqref="G33:AZ40 G64:AZ111" name="BlankCells"/>
    <protectedRange sqref="G1:AZ8" name="Range2"/>
    <protectedRange sqref="G9:AZ21 J27:AZ27 G27 G28:AZ32 G41:AZ63 G22:G26 J22:AZ26" name="Range2_2"/>
    <protectedRange sqref="H22:I26" name="Range2_1"/>
  </protectedRanges>
  <mergeCells count="70">
    <mergeCell ref="B21:B22"/>
    <mergeCell ref="C21:C22"/>
    <mergeCell ref="B33:I34"/>
    <mergeCell ref="B32:I32"/>
    <mergeCell ref="B23:B24"/>
    <mergeCell ref="C23:C24"/>
    <mergeCell ref="B25:B26"/>
    <mergeCell ref="C25:C26"/>
    <mergeCell ref="B27:H30"/>
    <mergeCell ref="F25:G26"/>
    <mergeCell ref="F23:G24"/>
    <mergeCell ref="B58:F58"/>
    <mergeCell ref="B59:F59"/>
    <mergeCell ref="B60:F60"/>
    <mergeCell ref="B61:F61"/>
    <mergeCell ref="B62:C62"/>
    <mergeCell ref="D62:F62"/>
    <mergeCell ref="B52:F52"/>
    <mergeCell ref="B53:F53"/>
    <mergeCell ref="B54:E54"/>
    <mergeCell ref="B55:E55"/>
    <mergeCell ref="B57:I57"/>
    <mergeCell ref="C43:I43"/>
    <mergeCell ref="C44:I45"/>
    <mergeCell ref="B46:I48"/>
    <mergeCell ref="B49:I49"/>
    <mergeCell ref="B51:C51"/>
    <mergeCell ref="D51:E51"/>
    <mergeCell ref="B41:C41"/>
    <mergeCell ref="D41:E41"/>
    <mergeCell ref="C42:I42"/>
    <mergeCell ref="I27:I30"/>
    <mergeCell ref="B35:G35"/>
    <mergeCell ref="C36:D38"/>
    <mergeCell ref="E36:F38"/>
    <mergeCell ref="C39:D39"/>
    <mergeCell ref="E39:F39"/>
    <mergeCell ref="F18:G20"/>
    <mergeCell ref="H18:H20"/>
    <mergeCell ref="I18:I20"/>
    <mergeCell ref="E21:E26"/>
    <mergeCell ref="F21:G21"/>
    <mergeCell ref="F22:G22"/>
    <mergeCell ref="H22:H24"/>
    <mergeCell ref="I22:I24"/>
    <mergeCell ref="H25:H26"/>
    <mergeCell ref="I25:I26"/>
    <mergeCell ref="B1:I1"/>
    <mergeCell ref="B2:I2"/>
    <mergeCell ref="B3:I5"/>
    <mergeCell ref="B6:I7"/>
    <mergeCell ref="B9:E9"/>
    <mergeCell ref="F9:I17"/>
    <mergeCell ref="B10:E10"/>
    <mergeCell ref="B11:B12"/>
    <mergeCell ref="C11:C12"/>
    <mergeCell ref="D11:D12"/>
    <mergeCell ref="E11:E12"/>
    <mergeCell ref="B13:B15"/>
    <mergeCell ref="C13:C15"/>
    <mergeCell ref="D13:D15"/>
    <mergeCell ref="E13:E15"/>
    <mergeCell ref="B16:B17"/>
    <mergeCell ref="C16:C17"/>
    <mergeCell ref="D16:D17"/>
    <mergeCell ref="E16:E17"/>
    <mergeCell ref="B18:B20"/>
    <mergeCell ref="C18:C20"/>
    <mergeCell ref="D18:D20"/>
    <mergeCell ref="E18:E20"/>
  </mergeCells>
  <conditionalFormatting sqref="B21:B22">
    <cfRule type="expression" dxfId="16" priority="7">
      <formula>$B$13="do not"</formula>
    </cfRule>
  </conditionalFormatting>
  <conditionalFormatting sqref="B23 B25 B27">
    <cfRule type="expression" dxfId="15" priority="179">
      <formula>#REF!="do"</formula>
    </cfRule>
  </conditionalFormatting>
  <conditionalFormatting sqref="B23:B26">
    <cfRule type="expression" dxfId="14" priority="6">
      <formula>$B$13="does"</formula>
    </cfRule>
  </conditionalFormatting>
  <conditionalFormatting sqref="B21:C21">
    <cfRule type="expression" dxfId="13" priority="180">
      <formula>#REF!="do not"</formula>
    </cfRule>
  </conditionalFormatting>
  <conditionalFormatting sqref="C23">
    <cfRule type="expression" dxfId="12" priority="181">
      <formula>#REF!="do not"</formula>
    </cfRule>
  </conditionalFormatting>
  <conditionalFormatting sqref="C23:C24">
    <cfRule type="expression" dxfId="11" priority="5">
      <formula>$C$13="do not"</formula>
    </cfRule>
  </conditionalFormatting>
  <conditionalFormatting sqref="C25">
    <cfRule type="expression" dxfId="10" priority="182">
      <formula>#REF!="do"</formula>
    </cfRule>
  </conditionalFormatting>
  <conditionalFormatting sqref="C25:C26">
    <cfRule type="expression" dxfId="9" priority="4">
      <formula>$C$13="does"</formula>
    </cfRule>
  </conditionalFormatting>
  <conditionalFormatting sqref="D21 D23 D25">
    <cfRule type="expression" dxfId="8" priority="3">
      <formula>$D$13="does not"</formula>
    </cfRule>
  </conditionalFormatting>
  <conditionalFormatting sqref="D22 D24 D26">
    <cfRule type="expression" dxfId="7" priority="2">
      <formula>$D$13="does"</formula>
    </cfRule>
    <cfRule type="expression" dxfId="6" priority="186">
      <formula>#REF!="does"</formula>
    </cfRule>
  </conditionalFormatting>
  <conditionalFormatting sqref="E21">
    <cfRule type="expression" dxfId="5" priority="20" stopIfTrue="1">
      <formula>AND(#REF!=#REF!,#REF!=#REF!,$E21=$O$52)</formula>
    </cfRule>
  </conditionalFormatting>
  <conditionalFormatting sqref="F23">
    <cfRule type="expression" dxfId="4" priority="191">
      <formula>AND($B$13="does",$C$13="does not")</formula>
    </cfRule>
  </conditionalFormatting>
  <conditionalFormatting sqref="F25">
    <cfRule type="expression" dxfId="3" priority="193">
      <formula>AND($B$13="do",$C$13="do")</formula>
    </cfRule>
  </conditionalFormatting>
  <conditionalFormatting sqref="F21:G21">
    <cfRule type="expression" dxfId="2" priority="189">
      <formula>AND($B$13="do not",$D$13="does not")</formula>
    </cfRule>
  </conditionalFormatting>
  <conditionalFormatting sqref="F22:G22">
    <cfRule type="expression" dxfId="1" priority="190">
      <formula>AND($B$13="do not",$D$22="does")</formula>
    </cfRule>
  </conditionalFormatting>
  <hyperlinks>
    <hyperlink ref="B35" r:id="rId1" xr:uid="{00000000-0004-0000-0900-000000000000}"/>
    <hyperlink ref="B58" r:id="rId2" location="screen3" xr:uid="{00000000-0004-0000-0900-000001000000}"/>
    <hyperlink ref="D62" r:id="rId3" xr:uid="{00000000-0004-0000-0900-000002000000}"/>
    <hyperlink ref="B60" r:id="rId4" xr:uid="{00000000-0004-0000-0900-000003000000}"/>
    <hyperlink ref="D41:E41" r:id="rId5" display="Minn. R. 7007.1300 subp. 3" xr:uid="{00000000-0004-0000-0900-000008000000}"/>
    <hyperlink ref="I27" r:id="rId6" xr:uid="{00000000-0004-0000-0900-000009000000}"/>
    <hyperlink ref="C39:D39" r:id="rId7" display="Info about Individual Air Permits" xr:uid="{00000000-0004-0000-0900-00000A000000}"/>
    <hyperlink ref="E39:F39" r:id="rId8" display="SCP-01: Submital cover page (aq-f1-scp01)" xr:uid="{00000000-0004-0000-0900-00000B000000}"/>
    <hyperlink ref="I22:I24" r:id="rId9" location=":~:text=Registration%20permit%20application%20forms" display="Application Forms, scroll to Registration section" xr:uid="{8EB47DC2-3C24-4F75-A63A-BEDB79F062E6}"/>
    <hyperlink ref="I25:I26" r:id="rId10" display="Application Forms, scroll to Section 1" xr:uid="{3F12F049-A589-4882-ABE2-D924E70B731D}"/>
    <hyperlink ref="H22:H24" r:id="rId11" display="Info about Air Registration Permits" xr:uid="{EFE75349-BA2F-45FB-8400-E56DB40B25E6}"/>
    <hyperlink ref="H25:H26" r:id="rId12" display="Info about Air Permits" xr:uid="{301D6978-185C-453A-A16C-F1A14C325442}"/>
  </hyperlinks>
  <pageMargins left="0.25" right="0.25" top="0.75" bottom="0.75" header="0.3" footer="0.3"/>
  <pageSetup scale="92" fitToHeight="0" orientation="landscape" r:id="rId13"/>
  <headerFooter>
    <oddFooter>&amp;L&amp;"Arial,Italic"&amp;8p-sbap5-30&amp;C&amp;"Arial,Italic"&amp;8https://www.pca.state.mn.us  •  Available in alternative formats  •  Use your preferred relay service&amp;R&amp;10Page &amp;P of &amp;N</oddFooter>
    <firstFooter>&amp;L&amp;10Grain and Commodity Calculator - Instructions&amp;R&amp;10&amp;P</firstFooter>
  </headerFooter>
  <rowBreaks count="1" manualBreakCount="1">
    <brk id="35" min="1"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tabColor theme="0" tint="-0.249977111117893"/>
    <pageSetUpPr fitToPage="1"/>
  </sheetPr>
  <dimension ref="B1:L45"/>
  <sheetViews>
    <sheetView showGridLines="0" zoomScaleNormal="100" zoomScaleSheetLayoutView="100" zoomScalePageLayoutView="85" workbookViewId="0">
      <selection activeCell="B1" sqref="B1:J1"/>
    </sheetView>
  </sheetViews>
  <sheetFormatPr defaultColWidth="9.140625" defaultRowHeight="15" x14ac:dyDescent="0.25"/>
  <cols>
    <col min="1" max="1" width="3.28515625" style="2" customWidth="1"/>
    <col min="2" max="10" width="14.85546875" style="2" customWidth="1"/>
    <col min="11" max="12" width="12" style="2" customWidth="1"/>
    <col min="13" max="16384" width="9.140625" style="2"/>
  </cols>
  <sheetData>
    <row r="1" spans="2:12" x14ac:dyDescent="0.25">
      <c r="B1" s="562" t="str">
        <f>Instructions!G2</f>
        <v>p-sbap5-30 • 7/31/25</v>
      </c>
      <c r="C1" s="562"/>
      <c r="D1" s="562"/>
      <c r="E1" s="562"/>
      <c r="F1" s="562"/>
      <c r="G1" s="562"/>
      <c r="H1" s="562"/>
      <c r="I1" s="562"/>
      <c r="J1" s="562"/>
    </row>
    <row r="2" spans="2:12" ht="21.75" thickBot="1" x14ac:dyDescent="0.3">
      <c r="B2" s="566" t="s">
        <v>369</v>
      </c>
      <c r="C2" s="566"/>
      <c r="D2" s="566"/>
      <c r="E2" s="566"/>
      <c r="F2" s="566"/>
      <c r="G2" s="566"/>
      <c r="H2" s="566"/>
      <c r="I2" s="566"/>
      <c r="J2" s="566"/>
      <c r="L2" s="4"/>
    </row>
    <row r="3" spans="2:12" s="7" customFormat="1" ht="15" customHeight="1" x14ac:dyDescent="0.2">
      <c r="B3" s="108"/>
      <c r="C3" s="108"/>
      <c r="D3" s="108"/>
      <c r="E3" s="108"/>
      <c r="F3" s="108"/>
      <c r="G3" s="108"/>
      <c r="H3" s="108"/>
      <c r="I3" s="108"/>
      <c r="J3" s="108"/>
      <c r="L3" s="107"/>
    </row>
    <row r="4" spans="2:12" s="7" customFormat="1" ht="15" customHeight="1" x14ac:dyDescent="0.2">
      <c r="B4" s="829" t="s">
        <v>123</v>
      </c>
      <c r="C4" s="829"/>
      <c r="D4" s="829"/>
      <c r="E4" s="829"/>
      <c r="F4" s="829"/>
      <c r="G4" s="829"/>
      <c r="H4" s="829"/>
      <c r="I4" s="829"/>
      <c r="J4" s="829"/>
    </row>
    <row r="5" spans="2:12" s="7" customFormat="1" ht="15" customHeight="1" x14ac:dyDescent="0.2">
      <c r="B5" s="853" t="s">
        <v>32</v>
      </c>
      <c r="C5" s="853"/>
      <c r="D5" s="850" t="s">
        <v>126</v>
      </c>
      <c r="E5" s="850" t="s">
        <v>33</v>
      </c>
      <c r="F5" s="850" t="s">
        <v>354</v>
      </c>
      <c r="G5" s="850" t="s">
        <v>303</v>
      </c>
      <c r="H5" s="850" t="s">
        <v>472</v>
      </c>
      <c r="I5" s="850" t="s">
        <v>305</v>
      </c>
      <c r="J5" s="850" t="s">
        <v>355</v>
      </c>
    </row>
    <row r="6" spans="2:12" s="7" customFormat="1" ht="15" customHeight="1" x14ac:dyDescent="0.2">
      <c r="B6" s="854"/>
      <c r="C6" s="854"/>
      <c r="D6" s="851"/>
      <c r="E6" s="851"/>
      <c r="F6" s="851"/>
      <c r="G6" s="851"/>
      <c r="H6" s="851"/>
      <c r="I6" s="851"/>
      <c r="J6" s="851"/>
    </row>
    <row r="7" spans="2:12" s="7" customFormat="1" ht="15" customHeight="1" x14ac:dyDescent="0.2">
      <c r="B7" s="854"/>
      <c r="C7" s="854"/>
      <c r="D7" s="851"/>
      <c r="E7" s="851"/>
      <c r="F7" s="851"/>
      <c r="G7" s="851"/>
      <c r="H7" s="851"/>
      <c r="I7" s="851"/>
      <c r="J7" s="851"/>
    </row>
    <row r="8" spans="2:12" s="7" customFormat="1" ht="15" customHeight="1" x14ac:dyDescent="0.2">
      <c r="B8" s="854"/>
      <c r="C8" s="854"/>
      <c r="D8" s="851"/>
      <c r="E8" s="851"/>
      <c r="F8" s="851"/>
      <c r="G8" s="851"/>
      <c r="H8" s="851"/>
      <c r="I8" s="851"/>
      <c r="J8" s="851"/>
    </row>
    <row r="9" spans="2:12" s="7" customFormat="1" ht="15" customHeight="1" x14ac:dyDescent="0.2">
      <c r="B9" s="855"/>
      <c r="C9" s="855"/>
      <c r="D9" s="852"/>
      <c r="E9" s="106" t="s">
        <v>36</v>
      </c>
      <c r="F9" s="106" t="s">
        <v>114</v>
      </c>
      <c r="G9" s="106" t="s">
        <v>36</v>
      </c>
      <c r="H9" s="106" t="s">
        <v>114</v>
      </c>
      <c r="I9" s="106" t="s">
        <v>36</v>
      </c>
      <c r="J9" s="106" t="s">
        <v>114</v>
      </c>
    </row>
    <row r="10" spans="2:12" s="7" customFormat="1" ht="15" customHeight="1" x14ac:dyDescent="0.2">
      <c r="B10" s="827" t="s">
        <v>98</v>
      </c>
      <c r="C10" s="844" t="s">
        <v>356</v>
      </c>
      <c r="D10" s="77" t="s">
        <v>116</v>
      </c>
      <c r="E10" s="78">
        <v>6.9999999999999999E-4</v>
      </c>
      <c r="F10" s="79"/>
      <c r="G10" s="78">
        <f>E10</f>
        <v>6.9999999999999999E-4</v>
      </c>
      <c r="H10" s="79"/>
      <c r="I10" s="78" t="s">
        <v>115</v>
      </c>
      <c r="J10" s="79"/>
    </row>
    <row r="11" spans="2:12" s="7" customFormat="1" ht="15" customHeight="1" x14ac:dyDescent="0.2">
      <c r="B11" s="828"/>
      <c r="C11" s="845"/>
      <c r="D11" s="80" t="s">
        <v>117</v>
      </c>
      <c r="E11" s="81" t="s">
        <v>115</v>
      </c>
      <c r="F11" s="82"/>
      <c r="G11" s="81" t="s">
        <v>115</v>
      </c>
      <c r="H11" s="82"/>
      <c r="I11" s="81" t="s">
        <v>115</v>
      </c>
      <c r="J11" s="82"/>
    </row>
    <row r="12" spans="2:12" s="7" customFormat="1" ht="15" customHeight="1" x14ac:dyDescent="0.2">
      <c r="B12" s="828"/>
      <c r="C12" s="844" t="s">
        <v>357</v>
      </c>
      <c r="D12" s="77" t="s">
        <v>116</v>
      </c>
      <c r="E12" s="78">
        <v>2.5000000000000001E-2</v>
      </c>
      <c r="F12" s="79"/>
      <c r="G12" s="78">
        <v>8.6999999999999994E-3</v>
      </c>
      <c r="H12" s="79"/>
      <c r="I12" s="78" t="s">
        <v>115</v>
      </c>
      <c r="J12" s="79"/>
    </row>
    <row r="13" spans="2:12" s="7" customFormat="1" ht="15" customHeight="1" x14ac:dyDescent="0.2">
      <c r="B13" s="828"/>
      <c r="C13" s="845"/>
      <c r="D13" s="80" t="s">
        <v>117</v>
      </c>
      <c r="E13" s="81" t="s">
        <v>115</v>
      </c>
      <c r="F13" s="82"/>
      <c r="G13" s="81" t="s">
        <v>115</v>
      </c>
      <c r="H13" s="82"/>
      <c r="I13" s="81">
        <v>5.0000000000000002E-5</v>
      </c>
      <c r="J13" s="83"/>
    </row>
    <row r="14" spans="2:12" s="7" customFormat="1" ht="15" customHeight="1" x14ac:dyDescent="0.2">
      <c r="B14" s="828"/>
      <c r="C14" s="844" t="s">
        <v>101</v>
      </c>
      <c r="D14" s="84" t="s">
        <v>116</v>
      </c>
      <c r="E14" s="85">
        <v>5.4000000000000003E-3</v>
      </c>
      <c r="F14" s="846">
        <f>(E14-E15)/E14</f>
        <v>0.7777777777777779</v>
      </c>
      <c r="G14" s="85">
        <v>2.3999999999999998E-3</v>
      </c>
      <c r="H14" s="846">
        <f>(G14-G15)/G14</f>
        <v>0.77499999999999991</v>
      </c>
      <c r="I14" s="78" t="s">
        <v>115</v>
      </c>
      <c r="J14" s="846"/>
    </row>
    <row r="15" spans="2:12" s="7" customFormat="1" ht="15" customHeight="1" x14ac:dyDescent="0.2">
      <c r="B15" s="828"/>
      <c r="C15" s="845"/>
      <c r="D15" s="86" t="s">
        <v>117</v>
      </c>
      <c r="E15" s="87">
        <v>1.1999999999999999E-3</v>
      </c>
      <c r="F15" s="847"/>
      <c r="G15" s="87">
        <v>5.4000000000000001E-4</v>
      </c>
      <c r="H15" s="847"/>
      <c r="I15" s="81">
        <v>1E-4</v>
      </c>
      <c r="J15" s="847"/>
    </row>
    <row r="16" spans="2:12" s="7" customFormat="1" ht="15" customHeight="1" x14ac:dyDescent="0.2">
      <c r="B16" s="828"/>
      <c r="C16" s="844" t="s">
        <v>102</v>
      </c>
      <c r="D16" s="84" t="s">
        <v>116</v>
      </c>
      <c r="E16" s="85">
        <v>3.9E-2</v>
      </c>
      <c r="F16" s="846">
        <f>(E16-E17)/E16</f>
        <v>0.92307692307692302</v>
      </c>
      <c r="G16" s="85">
        <v>1.4999999999999999E-2</v>
      </c>
      <c r="H16" s="846">
        <f>(G16-G17)/G16</f>
        <v>0.92</v>
      </c>
      <c r="I16" s="78" t="s">
        <v>115</v>
      </c>
      <c r="J16" s="846"/>
    </row>
    <row r="17" spans="2:10" s="7" customFormat="1" ht="15" customHeight="1" x14ac:dyDescent="0.2">
      <c r="B17" s="841"/>
      <c r="C17" s="845"/>
      <c r="D17" s="86" t="s">
        <v>117</v>
      </c>
      <c r="E17" s="19">
        <v>3.0000000000000001E-3</v>
      </c>
      <c r="F17" s="847"/>
      <c r="G17" s="19">
        <v>1.1999999999999999E-3</v>
      </c>
      <c r="H17" s="847"/>
      <c r="I17" s="81">
        <v>6.9999999999999994E-5</v>
      </c>
      <c r="J17" s="847"/>
    </row>
    <row r="18" spans="2:10" s="7" customFormat="1" ht="15" customHeight="1" x14ac:dyDescent="0.2">
      <c r="B18" s="827" t="s">
        <v>103</v>
      </c>
      <c r="C18" s="844" t="s">
        <v>103</v>
      </c>
      <c r="D18" s="84" t="s">
        <v>116</v>
      </c>
      <c r="E18" s="88">
        <v>2.5000000000000001E-2</v>
      </c>
      <c r="F18" s="846">
        <f>(E18-E19)/E18</f>
        <v>0.91200000000000003</v>
      </c>
      <c r="G18" s="88">
        <v>8.6999999999999994E-3</v>
      </c>
      <c r="H18" s="846">
        <f>(G18-G19)/G18</f>
        <v>0.9149425287356322</v>
      </c>
      <c r="I18" s="78" t="s">
        <v>115</v>
      </c>
      <c r="J18" s="846"/>
    </row>
    <row r="19" spans="2:10" s="7" customFormat="1" ht="15" customHeight="1" x14ac:dyDescent="0.2">
      <c r="B19" s="828"/>
      <c r="C19" s="845"/>
      <c r="D19" s="86" t="s">
        <v>117</v>
      </c>
      <c r="E19" s="19">
        <v>2.2000000000000001E-3</v>
      </c>
      <c r="F19" s="847"/>
      <c r="G19" s="19">
        <v>7.3999999999999999E-4</v>
      </c>
      <c r="H19" s="847"/>
      <c r="I19" s="81">
        <v>5.0000000000000002E-5</v>
      </c>
      <c r="J19" s="847"/>
    </row>
    <row r="20" spans="2:10" s="7" customFormat="1" ht="15" customHeight="1" x14ac:dyDescent="0.2">
      <c r="B20" s="828"/>
      <c r="C20" s="844" t="s">
        <v>104</v>
      </c>
      <c r="D20" s="84" t="s">
        <v>116</v>
      </c>
      <c r="E20" s="88">
        <v>0.3</v>
      </c>
      <c r="F20" s="846">
        <f>(E20-E21)/E20</f>
        <v>0.98799999999999999</v>
      </c>
      <c r="G20" s="88">
        <v>7.1999999999999995E-2</v>
      </c>
      <c r="H20" s="846">
        <f>(G20-G21)/G20</f>
        <v>0.96944444444444455</v>
      </c>
      <c r="I20" s="78" t="s">
        <v>115</v>
      </c>
      <c r="J20" s="846"/>
    </row>
    <row r="21" spans="2:10" s="7" customFormat="1" ht="15" customHeight="1" x14ac:dyDescent="0.2">
      <c r="B21" s="841"/>
      <c r="C21" s="845"/>
      <c r="D21" s="86" t="s">
        <v>117</v>
      </c>
      <c r="E21" s="19">
        <v>3.5999999999999999E-3</v>
      </c>
      <c r="F21" s="847"/>
      <c r="G21" s="19">
        <v>2.2000000000000001E-3</v>
      </c>
      <c r="H21" s="847"/>
      <c r="I21" s="81" t="s">
        <v>115</v>
      </c>
      <c r="J21" s="847"/>
    </row>
    <row r="22" spans="2:10" s="7" customFormat="1" ht="15" customHeight="1" x14ac:dyDescent="0.2">
      <c r="B22" s="856" t="s">
        <v>109</v>
      </c>
      <c r="C22" s="857"/>
      <c r="D22" s="84" t="s">
        <v>116</v>
      </c>
      <c r="E22" s="88">
        <v>3.0000000000000001E-3</v>
      </c>
      <c r="F22" s="846">
        <f>(E22-E23)/E22</f>
        <v>0.95333333333333337</v>
      </c>
      <c r="G22" s="88">
        <v>1.1000000000000001E-3</v>
      </c>
      <c r="H22" s="846">
        <f>(G22-G23)/G22</f>
        <v>0.95818181818181813</v>
      </c>
      <c r="I22" s="78" t="s">
        <v>115</v>
      </c>
      <c r="J22" s="846"/>
    </row>
    <row r="23" spans="2:10" s="7" customFormat="1" ht="15" customHeight="1" x14ac:dyDescent="0.2">
      <c r="B23" s="858"/>
      <c r="C23" s="859"/>
      <c r="D23" s="86" t="s">
        <v>117</v>
      </c>
      <c r="E23" s="19">
        <v>1.3999999999999999E-4</v>
      </c>
      <c r="F23" s="847"/>
      <c r="G23" s="19">
        <v>4.6E-5</v>
      </c>
      <c r="H23" s="847"/>
      <c r="I23" s="81">
        <v>1.2999999999999999E-5</v>
      </c>
      <c r="J23" s="847"/>
    </row>
    <row r="24" spans="2:10" s="7" customFormat="1" ht="15" customHeight="1" x14ac:dyDescent="0.2">
      <c r="B24" s="849" t="s">
        <v>358</v>
      </c>
      <c r="C24" s="849"/>
      <c r="D24" s="849"/>
      <c r="E24" s="849"/>
      <c r="F24" s="849"/>
      <c r="G24" s="848" t="s">
        <v>120</v>
      </c>
      <c r="H24" s="848"/>
      <c r="I24" s="848"/>
      <c r="J24" s="848"/>
    </row>
    <row r="25" spans="2:10" s="7" customFormat="1" ht="15" customHeight="1" x14ac:dyDescent="0.2">
      <c r="B25" s="822" t="s">
        <v>359</v>
      </c>
      <c r="C25" s="822"/>
      <c r="D25" s="822"/>
      <c r="E25" s="822"/>
      <c r="F25" s="822"/>
      <c r="G25" s="822"/>
      <c r="H25" s="822"/>
      <c r="I25" s="822"/>
      <c r="J25" s="822"/>
    </row>
    <row r="26" spans="2:10" s="7" customFormat="1" ht="15" customHeight="1" x14ac:dyDescent="0.2">
      <c r="B26" s="822"/>
      <c r="C26" s="822"/>
      <c r="D26" s="822"/>
      <c r="E26" s="822"/>
      <c r="F26" s="822"/>
      <c r="G26" s="822"/>
      <c r="H26" s="822"/>
      <c r="I26" s="822"/>
      <c r="J26" s="822"/>
    </row>
    <row r="27" spans="2:10" s="7" customFormat="1" ht="15" customHeight="1" x14ac:dyDescent="0.2">
      <c r="B27" s="822"/>
      <c r="C27" s="822"/>
      <c r="D27" s="822"/>
      <c r="E27" s="822"/>
      <c r="F27" s="822"/>
      <c r="G27" s="822"/>
      <c r="H27" s="822"/>
      <c r="I27" s="822"/>
      <c r="J27" s="822"/>
    </row>
    <row r="28" spans="2:10" s="7" customFormat="1" ht="15" customHeight="1" x14ac:dyDescent="0.2">
      <c r="B28" s="824" t="s">
        <v>360</v>
      </c>
      <c r="C28" s="824"/>
      <c r="D28" s="824"/>
      <c r="E28" s="824"/>
      <c r="F28" s="824"/>
      <c r="G28" s="824"/>
      <c r="H28" s="824"/>
      <c r="I28" s="824"/>
      <c r="J28" s="824"/>
    </row>
    <row r="29" spans="2:10" s="7" customFormat="1" ht="15" customHeight="1" x14ac:dyDescent="0.2">
      <c r="B29" s="824"/>
      <c r="C29" s="824"/>
      <c r="D29" s="824"/>
      <c r="E29" s="824"/>
      <c r="F29" s="824"/>
      <c r="G29" s="824"/>
      <c r="H29" s="824"/>
      <c r="I29" s="824"/>
      <c r="J29" s="824"/>
    </row>
    <row r="30" spans="2:10" s="7" customFormat="1" ht="15" customHeight="1" x14ac:dyDescent="0.2">
      <c r="B30" s="824"/>
      <c r="C30" s="824"/>
      <c r="D30" s="824"/>
      <c r="E30" s="824"/>
      <c r="F30" s="824"/>
      <c r="G30" s="824"/>
      <c r="H30" s="824"/>
      <c r="I30" s="824"/>
      <c r="J30" s="824"/>
    </row>
    <row r="31" spans="2:10" s="7" customFormat="1" ht="15" customHeight="1" x14ac:dyDescent="0.2">
      <c r="B31" s="21"/>
      <c r="C31" s="823"/>
      <c r="D31" s="823"/>
      <c r="E31" s="823"/>
      <c r="F31" s="823"/>
      <c r="G31" s="823"/>
      <c r="H31" s="823"/>
      <c r="I31" s="823"/>
      <c r="J31" s="823"/>
    </row>
    <row r="32" spans="2:10" s="7" customFormat="1" ht="15" customHeight="1" x14ac:dyDescent="0.2">
      <c r="B32" s="104"/>
      <c r="C32" s="105"/>
    </row>
    <row r="33" spans="2:10" s="7" customFormat="1" ht="15" customHeight="1" x14ac:dyDescent="0.2">
      <c r="B33" s="829" t="s">
        <v>121</v>
      </c>
      <c r="C33" s="829"/>
      <c r="D33" s="829"/>
      <c r="E33" s="829"/>
      <c r="F33" s="829"/>
      <c r="G33" s="829"/>
      <c r="H33" s="829"/>
      <c r="I33" s="829"/>
      <c r="J33" s="829"/>
    </row>
    <row r="34" spans="2:10" s="7" customFormat="1" ht="15" customHeight="1" x14ac:dyDescent="0.2">
      <c r="B34" s="830" t="s">
        <v>32</v>
      </c>
      <c r="C34" s="831"/>
      <c r="D34" s="837" t="s">
        <v>305</v>
      </c>
      <c r="E34" s="838"/>
      <c r="F34" s="827" t="s">
        <v>122</v>
      </c>
      <c r="G34" s="839"/>
      <c r="H34" s="839"/>
      <c r="I34" s="839"/>
      <c r="J34" s="840"/>
    </row>
    <row r="35" spans="2:10" s="7" customFormat="1" ht="15" customHeight="1" x14ac:dyDescent="0.2">
      <c r="B35" s="832"/>
      <c r="C35" s="833"/>
      <c r="D35" s="89" t="s">
        <v>118</v>
      </c>
      <c r="E35" s="90" t="s">
        <v>36</v>
      </c>
      <c r="F35" s="841"/>
      <c r="G35" s="842"/>
      <c r="H35" s="842"/>
      <c r="I35" s="842"/>
      <c r="J35" s="843"/>
    </row>
    <row r="36" spans="2:10" s="7" customFormat="1" ht="15" customHeight="1" x14ac:dyDescent="0.2">
      <c r="B36" s="827" t="s">
        <v>98</v>
      </c>
      <c r="C36" s="91" t="s">
        <v>99</v>
      </c>
      <c r="D36" s="92">
        <v>1</v>
      </c>
      <c r="E36" s="93">
        <f>E38</f>
        <v>5.0000000000000001E-4</v>
      </c>
      <c r="F36" s="94">
        <v>1</v>
      </c>
      <c r="G36" s="834" t="s">
        <v>124</v>
      </c>
      <c r="H36" s="834"/>
      <c r="I36" s="834"/>
      <c r="J36" s="835"/>
    </row>
    <row r="37" spans="2:10" s="7" customFormat="1" ht="15" customHeight="1" x14ac:dyDescent="0.2">
      <c r="B37" s="828"/>
      <c r="C37" s="91" t="s">
        <v>100</v>
      </c>
      <c r="D37" s="95">
        <v>2</v>
      </c>
      <c r="E37" s="93">
        <f>I13*5</f>
        <v>2.5000000000000001E-4</v>
      </c>
      <c r="F37" s="96"/>
      <c r="G37" s="823"/>
      <c r="H37" s="823"/>
      <c r="I37" s="823"/>
      <c r="J37" s="836"/>
    </row>
    <row r="38" spans="2:10" s="7" customFormat="1" ht="15" customHeight="1" x14ac:dyDescent="0.2">
      <c r="B38" s="828"/>
      <c r="C38" s="91" t="s">
        <v>101</v>
      </c>
      <c r="D38" s="95">
        <v>2</v>
      </c>
      <c r="E38" s="93">
        <f>I15*5</f>
        <v>5.0000000000000001E-4</v>
      </c>
      <c r="F38" s="96">
        <v>2</v>
      </c>
      <c r="G38" s="823" t="s">
        <v>119</v>
      </c>
      <c r="H38" s="823"/>
      <c r="I38" s="823"/>
      <c r="J38" s="836"/>
    </row>
    <row r="39" spans="2:10" s="7" customFormat="1" ht="15" customHeight="1" x14ac:dyDescent="0.2">
      <c r="B39" s="828"/>
      <c r="C39" s="91" t="s">
        <v>102</v>
      </c>
      <c r="D39" s="95">
        <v>2</v>
      </c>
      <c r="E39" s="93">
        <f>I17*5</f>
        <v>3.4999999999999994E-4</v>
      </c>
      <c r="F39" s="97"/>
      <c r="G39" s="823"/>
      <c r="H39" s="823"/>
      <c r="I39" s="823"/>
      <c r="J39" s="836"/>
    </row>
    <row r="40" spans="2:10" s="7" customFormat="1" ht="15" customHeight="1" x14ac:dyDescent="0.2">
      <c r="B40" s="827" t="s">
        <v>103</v>
      </c>
      <c r="C40" s="91" t="s">
        <v>103</v>
      </c>
      <c r="D40" s="95">
        <v>2</v>
      </c>
      <c r="E40" s="98">
        <f>I19*5</f>
        <v>2.5000000000000001E-4</v>
      </c>
      <c r="F40" s="97">
        <v>3</v>
      </c>
      <c r="G40" s="823" t="s">
        <v>125</v>
      </c>
      <c r="H40" s="823"/>
      <c r="I40" s="823"/>
      <c r="J40" s="836"/>
    </row>
    <row r="41" spans="2:10" s="7" customFormat="1" ht="15" customHeight="1" x14ac:dyDescent="0.2">
      <c r="B41" s="828"/>
      <c r="C41" s="91" t="s">
        <v>104</v>
      </c>
      <c r="D41" s="99">
        <v>3</v>
      </c>
      <c r="E41" s="98">
        <f>E40*10</f>
        <v>2.5000000000000001E-3</v>
      </c>
      <c r="F41" s="97"/>
      <c r="G41" s="823"/>
      <c r="H41" s="823"/>
      <c r="I41" s="823"/>
      <c r="J41" s="836"/>
    </row>
    <row r="42" spans="2:10" s="7" customFormat="1" ht="15" customHeight="1" x14ac:dyDescent="0.2">
      <c r="B42" s="825" t="s">
        <v>109</v>
      </c>
      <c r="C42" s="826"/>
      <c r="D42" s="100">
        <v>2</v>
      </c>
      <c r="E42" s="101">
        <f>I23*5</f>
        <v>6.4999999999999994E-5</v>
      </c>
      <c r="F42" s="102"/>
      <c r="G42" s="103"/>
      <c r="H42" s="103"/>
      <c r="I42" s="103"/>
      <c r="J42" s="20"/>
    </row>
    <row r="43" spans="2:10" s="7" customFormat="1" ht="12.75" x14ac:dyDescent="0.2"/>
    <row r="44" spans="2:10" s="18" customFormat="1" ht="14.25" x14ac:dyDescent="0.2">
      <c r="D44" s="7"/>
      <c r="E44" s="7"/>
      <c r="F44" s="7"/>
      <c r="G44" s="7"/>
      <c r="H44" s="7"/>
      <c r="I44" s="7"/>
      <c r="J44" s="7"/>
    </row>
    <row r="45" spans="2:10" s="18" customFormat="1" ht="14.25" x14ac:dyDescent="0.2"/>
  </sheetData>
  <mergeCells count="50">
    <mergeCell ref="J5:J8"/>
    <mergeCell ref="B5:C9"/>
    <mergeCell ref="B1:J1"/>
    <mergeCell ref="B22:C23"/>
    <mergeCell ref="F14:F15"/>
    <mergeCell ref="F16:F17"/>
    <mergeCell ref="F18:F19"/>
    <mergeCell ref="F20:F21"/>
    <mergeCell ref="F22:F23"/>
    <mergeCell ref="B18:B21"/>
    <mergeCell ref="B10:B17"/>
    <mergeCell ref="C10:C11"/>
    <mergeCell ref="C12:C13"/>
    <mergeCell ref="C14:C15"/>
    <mergeCell ref="H5:H8"/>
    <mergeCell ref="I5:I8"/>
    <mergeCell ref="G24:J24"/>
    <mergeCell ref="B24:F24"/>
    <mergeCell ref="B2:J2"/>
    <mergeCell ref="B4:J4"/>
    <mergeCell ref="H14:H15"/>
    <mergeCell ref="H16:H17"/>
    <mergeCell ref="H18:H19"/>
    <mergeCell ref="J14:J15"/>
    <mergeCell ref="J16:J17"/>
    <mergeCell ref="J18:J19"/>
    <mergeCell ref="D5:D9"/>
    <mergeCell ref="E5:E8"/>
    <mergeCell ref="F5:F8"/>
    <mergeCell ref="G5:G8"/>
    <mergeCell ref="J20:J21"/>
    <mergeCell ref="J22:J23"/>
    <mergeCell ref="C16:C17"/>
    <mergeCell ref="H20:H21"/>
    <mergeCell ref="H22:H23"/>
    <mergeCell ref="C18:C19"/>
    <mergeCell ref="C20:C21"/>
    <mergeCell ref="B25:J27"/>
    <mergeCell ref="C31:J31"/>
    <mergeCell ref="B28:J30"/>
    <mergeCell ref="B42:C42"/>
    <mergeCell ref="B40:B41"/>
    <mergeCell ref="B33:J33"/>
    <mergeCell ref="B34:C35"/>
    <mergeCell ref="B36:B39"/>
    <mergeCell ref="G36:J37"/>
    <mergeCell ref="G38:J39"/>
    <mergeCell ref="D34:E34"/>
    <mergeCell ref="G40:J41"/>
    <mergeCell ref="F34:J35"/>
  </mergeCells>
  <hyperlinks>
    <hyperlink ref="G24" r:id="rId1" xr:uid="{00000000-0004-0000-0A00-000000000000}"/>
  </hyperlinks>
  <pageMargins left="0.25" right="0.25" top="0.75" bottom="0.75" header="0.3" footer="0.3"/>
  <pageSetup fitToHeight="0" orientation="landscape" verticalDpi="1200" r:id="rId2"/>
  <headerFooter>
    <oddFooter>&amp;L&amp;"Arial,Italic"&amp;8p-sbap5-30&amp;C&amp;"Arial,Italic"&amp;8https://www.pca.state.mn.us  •  Available in alternative formats  •  Use your preferred relay service&amp;R&amp;10Page &amp;P of &amp;N</oddFooter>
    <firstFooter>&amp;L&amp;10Grain and Commodity Calculator - Instructions&amp;R&amp;10&amp;P</firstFooter>
  </headerFooter>
  <rowBreaks count="1" manualBreakCount="1">
    <brk id="32" min="1" max="9"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0D8D4-0ABF-4CD3-A1B4-0635D482FE6F}">
  <sheetPr codeName="Sheet6">
    <tabColor theme="0" tint="-0.249977111117893"/>
    <pageSetUpPr fitToPage="1"/>
  </sheetPr>
  <dimension ref="A1:J64"/>
  <sheetViews>
    <sheetView showGridLines="0" zoomScaleNormal="100" workbookViewId="0">
      <selection activeCell="A2" sqref="A2"/>
    </sheetView>
  </sheetViews>
  <sheetFormatPr defaultRowHeight="12.75" x14ac:dyDescent="0.2"/>
  <cols>
    <col min="1" max="1" width="23.5703125" style="241" customWidth="1"/>
    <col min="2" max="3" width="20.85546875" style="241" customWidth="1"/>
    <col min="4" max="4" width="26" style="241" customWidth="1"/>
    <col min="5" max="5" width="21.28515625" style="241" customWidth="1"/>
    <col min="6" max="6" width="20.140625" style="241" customWidth="1"/>
    <col min="7" max="7" width="22.42578125" style="241" customWidth="1"/>
    <col min="8" max="8" width="23.140625" style="241" customWidth="1"/>
    <col min="9" max="10" width="20.5703125" style="241" customWidth="1"/>
    <col min="11" max="252" width="8.85546875" style="241"/>
    <col min="253" max="253" width="17.42578125" style="241" customWidth="1"/>
    <col min="254" max="255" width="20.85546875" style="241" customWidth="1"/>
    <col min="256" max="256" width="26" style="241" bestFit="1" customWidth="1"/>
    <col min="257" max="257" width="21.28515625" style="241" bestFit="1" customWidth="1"/>
    <col min="258" max="258" width="20.140625" style="241" bestFit="1" customWidth="1"/>
    <col min="259" max="259" width="22.42578125" style="241" bestFit="1" customWidth="1"/>
    <col min="260" max="260" width="25.42578125" style="241" customWidth="1"/>
    <col min="261" max="261" width="14.5703125" style="241" customWidth="1"/>
    <col min="262" max="262" width="11.7109375" style="241" customWidth="1"/>
    <col min="263" max="263" width="12.5703125" style="241" customWidth="1"/>
    <col min="264" max="264" width="13" style="241" customWidth="1"/>
    <col min="265" max="508" width="8.85546875" style="241"/>
    <col min="509" max="509" width="17.42578125" style="241" customWidth="1"/>
    <col min="510" max="511" width="20.85546875" style="241" customWidth="1"/>
    <col min="512" max="512" width="26" style="241" bestFit="1" customWidth="1"/>
    <col min="513" max="513" width="21.28515625" style="241" bestFit="1" customWidth="1"/>
    <col min="514" max="514" width="20.140625" style="241" bestFit="1" customWidth="1"/>
    <col min="515" max="515" width="22.42578125" style="241" bestFit="1" customWidth="1"/>
    <col min="516" max="516" width="25.42578125" style="241" customWidth="1"/>
    <col min="517" max="517" width="14.5703125" style="241" customWidth="1"/>
    <col min="518" max="518" width="11.7109375" style="241" customWidth="1"/>
    <col min="519" max="519" width="12.5703125" style="241" customWidth="1"/>
    <col min="520" max="520" width="13" style="241" customWidth="1"/>
    <col min="521" max="764" width="8.85546875" style="241"/>
    <col min="765" max="765" width="17.42578125" style="241" customWidth="1"/>
    <col min="766" max="767" width="20.85546875" style="241" customWidth="1"/>
    <col min="768" max="768" width="26" style="241" bestFit="1" customWidth="1"/>
    <col min="769" max="769" width="21.28515625" style="241" bestFit="1" customWidth="1"/>
    <col min="770" max="770" width="20.140625" style="241" bestFit="1" customWidth="1"/>
    <col min="771" max="771" width="22.42578125" style="241" bestFit="1" customWidth="1"/>
    <col min="772" max="772" width="25.42578125" style="241" customWidth="1"/>
    <col min="773" max="773" width="14.5703125" style="241" customWidth="1"/>
    <col min="774" max="774" width="11.7109375" style="241" customWidth="1"/>
    <col min="775" max="775" width="12.5703125" style="241" customWidth="1"/>
    <col min="776" max="776" width="13" style="241" customWidth="1"/>
    <col min="777" max="1020" width="8.85546875" style="241"/>
    <col min="1021" max="1021" width="17.42578125" style="241" customWidth="1"/>
    <col min="1022" max="1023" width="20.85546875" style="241" customWidth="1"/>
    <col min="1024" max="1024" width="26" style="241" bestFit="1" customWidth="1"/>
    <col min="1025" max="1025" width="21.28515625" style="241" bestFit="1" customWidth="1"/>
    <col min="1026" max="1026" width="20.140625" style="241" bestFit="1" customWidth="1"/>
    <col min="1027" max="1027" width="22.42578125" style="241" bestFit="1" customWidth="1"/>
    <col min="1028" max="1028" width="25.42578125" style="241" customWidth="1"/>
    <col min="1029" max="1029" width="14.5703125" style="241" customWidth="1"/>
    <col min="1030" max="1030" width="11.7109375" style="241" customWidth="1"/>
    <col min="1031" max="1031" width="12.5703125" style="241" customWidth="1"/>
    <col min="1032" max="1032" width="13" style="241" customWidth="1"/>
    <col min="1033" max="1276" width="8.85546875" style="241"/>
    <col min="1277" max="1277" width="17.42578125" style="241" customWidth="1"/>
    <col min="1278" max="1279" width="20.85546875" style="241" customWidth="1"/>
    <col min="1280" max="1280" width="26" style="241" bestFit="1" customWidth="1"/>
    <col min="1281" max="1281" width="21.28515625" style="241" bestFit="1" customWidth="1"/>
    <col min="1282" max="1282" width="20.140625" style="241" bestFit="1" customWidth="1"/>
    <col min="1283" max="1283" width="22.42578125" style="241" bestFit="1" customWidth="1"/>
    <col min="1284" max="1284" width="25.42578125" style="241" customWidth="1"/>
    <col min="1285" max="1285" width="14.5703125" style="241" customWidth="1"/>
    <col min="1286" max="1286" width="11.7109375" style="241" customWidth="1"/>
    <col min="1287" max="1287" width="12.5703125" style="241" customWidth="1"/>
    <col min="1288" max="1288" width="13" style="241" customWidth="1"/>
    <col min="1289" max="1532" width="8.85546875" style="241"/>
    <col min="1533" max="1533" width="17.42578125" style="241" customWidth="1"/>
    <col min="1534" max="1535" width="20.85546875" style="241" customWidth="1"/>
    <col min="1536" max="1536" width="26" style="241" bestFit="1" customWidth="1"/>
    <col min="1537" max="1537" width="21.28515625" style="241" bestFit="1" customWidth="1"/>
    <col min="1538" max="1538" width="20.140625" style="241" bestFit="1" customWidth="1"/>
    <col min="1539" max="1539" width="22.42578125" style="241" bestFit="1" customWidth="1"/>
    <col min="1540" max="1540" width="25.42578125" style="241" customWidth="1"/>
    <col min="1541" max="1541" width="14.5703125" style="241" customWidth="1"/>
    <col min="1542" max="1542" width="11.7109375" style="241" customWidth="1"/>
    <col min="1543" max="1543" width="12.5703125" style="241" customWidth="1"/>
    <col min="1544" max="1544" width="13" style="241" customWidth="1"/>
    <col min="1545" max="1788" width="8.85546875" style="241"/>
    <col min="1789" max="1789" width="17.42578125" style="241" customWidth="1"/>
    <col min="1790" max="1791" width="20.85546875" style="241" customWidth="1"/>
    <col min="1792" max="1792" width="26" style="241" bestFit="1" customWidth="1"/>
    <col min="1793" max="1793" width="21.28515625" style="241" bestFit="1" customWidth="1"/>
    <col min="1794" max="1794" width="20.140625" style="241" bestFit="1" customWidth="1"/>
    <col min="1795" max="1795" width="22.42578125" style="241" bestFit="1" customWidth="1"/>
    <col min="1796" max="1796" width="25.42578125" style="241" customWidth="1"/>
    <col min="1797" max="1797" width="14.5703125" style="241" customWidth="1"/>
    <col min="1798" max="1798" width="11.7109375" style="241" customWidth="1"/>
    <col min="1799" max="1799" width="12.5703125" style="241" customWidth="1"/>
    <col min="1800" max="1800" width="13" style="241" customWidth="1"/>
    <col min="1801" max="2044" width="8.85546875" style="241"/>
    <col min="2045" max="2045" width="17.42578125" style="241" customWidth="1"/>
    <col min="2046" max="2047" width="20.85546875" style="241" customWidth="1"/>
    <col min="2048" max="2048" width="26" style="241" bestFit="1" customWidth="1"/>
    <col min="2049" max="2049" width="21.28515625" style="241" bestFit="1" customWidth="1"/>
    <col min="2050" max="2050" width="20.140625" style="241" bestFit="1" customWidth="1"/>
    <col min="2051" max="2051" width="22.42578125" style="241" bestFit="1" customWidth="1"/>
    <col min="2052" max="2052" width="25.42578125" style="241" customWidth="1"/>
    <col min="2053" max="2053" width="14.5703125" style="241" customWidth="1"/>
    <col min="2054" max="2054" width="11.7109375" style="241" customWidth="1"/>
    <col min="2055" max="2055" width="12.5703125" style="241" customWidth="1"/>
    <col min="2056" max="2056" width="13" style="241" customWidth="1"/>
    <col min="2057" max="2300" width="8.85546875" style="241"/>
    <col min="2301" max="2301" width="17.42578125" style="241" customWidth="1"/>
    <col min="2302" max="2303" width="20.85546875" style="241" customWidth="1"/>
    <col min="2304" max="2304" width="26" style="241" bestFit="1" customWidth="1"/>
    <col min="2305" max="2305" width="21.28515625" style="241" bestFit="1" customWidth="1"/>
    <col min="2306" max="2306" width="20.140625" style="241" bestFit="1" customWidth="1"/>
    <col min="2307" max="2307" width="22.42578125" style="241" bestFit="1" customWidth="1"/>
    <col min="2308" max="2308" width="25.42578125" style="241" customWidth="1"/>
    <col min="2309" max="2309" width="14.5703125" style="241" customWidth="1"/>
    <col min="2310" max="2310" width="11.7109375" style="241" customWidth="1"/>
    <col min="2311" max="2311" width="12.5703125" style="241" customWidth="1"/>
    <col min="2312" max="2312" width="13" style="241" customWidth="1"/>
    <col min="2313" max="2556" width="8.85546875" style="241"/>
    <col min="2557" max="2557" width="17.42578125" style="241" customWidth="1"/>
    <col min="2558" max="2559" width="20.85546875" style="241" customWidth="1"/>
    <col min="2560" max="2560" width="26" style="241" bestFit="1" customWidth="1"/>
    <col min="2561" max="2561" width="21.28515625" style="241" bestFit="1" customWidth="1"/>
    <col min="2562" max="2562" width="20.140625" style="241" bestFit="1" customWidth="1"/>
    <col min="2563" max="2563" width="22.42578125" style="241" bestFit="1" customWidth="1"/>
    <col min="2564" max="2564" width="25.42578125" style="241" customWidth="1"/>
    <col min="2565" max="2565" width="14.5703125" style="241" customWidth="1"/>
    <col min="2566" max="2566" width="11.7109375" style="241" customWidth="1"/>
    <col min="2567" max="2567" width="12.5703125" style="241" customWidth="1"/>
    <col min="2568" max="2568" width="13" style="241" customWidth="1"/>
    <col min="2569" max="2812" width="8.85546875" style="241"/>
    <col min="2813" max="2813" width="17.42578125" style="241" customWidth="1"/>
    <col min="2814" max="2815" width="20.85546875" style="241" customWidth="1"/>
    <col min="2816" max="2816" width="26" style="241" bestFit="1" customWidth="1"/>
    <col min="2817" max="2817" width="21.28515625" style="241" bestFit="1" customWidth="1"/>
    <col min="2818" max="2818" width="20.140625" style="241" bestFit="1" customWidth="1"/>
    <col min="2819" max="2819" width="22.42578125" style="241" bestFit="1" customWidth="1"/>
    <col min="2820" max="2820" width="25.42578125" style="241" customWidth="1"/>
    <col min="2821" max="2821" width="14.5703125" style="241" customWidth="1"/>
    <col min="2822" max="2822" width="11.7109375" style="241" customWidth="1"/>
    <col min="2823" max="2823" width="12.5703125" style="241" customWidth="1"/>
    <col min="2824" max="2824" width="13" style="241" customWidth="1"/>
    <col min="2825" max="3068" width="8.85546875" style="241"/>
    <col min="3069" max="3069" width="17.42578125" style="241" customWidth="1"/>
    <col min="3070" max="3071" width="20.85546875" style="241" customWidth="1"/>
    <col min="3072" max="3072" width="26" style="241" bestFit="1" customWidth="1"/>
    <col min="3073" max="3073" width="21.28515625" style="241" bestFit="1" customWidth="1"/>
    <col min="3074" max="3074" width="20.140625" style="241" bestFit="1" customWidth="1"/>
    <col min="3075" max="3075" width="22.42578125" style="241" bestFit="1" customWidth="1"/>
    <col min="3076" max="3076" width="25.42578125" style="241" customWidth="1"/>
    <col min="3077" max="3077" width="14.5703125" style="241" customWidth="1"/>
    <col min="3078" max="3078" width="11.7109375" style="241" customWidth="1"/>
    <col min="3079" max="3079" width="12.5703125" style="241" customWidth="1"/>
    <col min="3080" max="3080" width="13" style="241" customWidth="1"/>
    <col min="3081" max="3324" width="8.85546875" style="241"/>
    <col min="3325" max="3325" width="17.42578125" style="241" customWidth="1"/>
    <col min="3326" max="3327" width="20.85546875" style="241" customWidth="1"/>
    <col min="3328" max="3328" width="26" style="241" bestFit="1" customWidth="1"/>
    <col min="3329" max="3329" width="21.28515625" style="241" bestFit="1" customWidth="1"/>
    <col min="3330" max="3330" width="20.140625" style="241" bestFit="1" customWidth="1"/>
    <col min="3331" max="3331" width="22.42578125" style="241" bestFit="1" customWidth="1"/>
    <col min="3332" max="3332" width="25.42578125" style="241" customWidth="1"/>
    <col min="3333" max="3333" width="14.5703125" style="241" customWidth="1"/>
    <col min="3334" max="3334" width="11.7109375" style="241" customWidth="1"/>
    <col min="3335" max="3335" width="12.5703125" style="241" customWidth="1"/>
    <col min="3336" max="3336" width="13" style="241" customWidth="1"/>
    <col min="3337" max="3580" width="8.85546875" style="241"/>
    <col min="3581" max="3581" width="17.42578125" style="241" customWidth="1"/>
    <col min="3582" max="3583" width="20.85546875" style="241" customWidth="1"/>
    <col min="3584" max="3584" width="26" style="241" bestFit="1" customWidth="1"/>
    <col min="3585" max="3585" width="21.28515625" style="241" bestFit="1" customWidth="1"/>
    <col min="3586" max="3586" width="20.140625" style="241" bestFit="1" customWidth="1"/>
    <col min="3587" max="3587" width="22.42578125" style="241" bestFit="1" customWidth="1"/>
    <col min="3588" max="3588" width="25.42578125" style="241" customWidth="1"/>
    <col min="3589" max="3589" width="14.5703125" style="241" customWidth="1"/>
    <col min="3590" max="3590" width="11.7109375" style="241" customWidth="1"/>
    <col min="3591" max="3591" width="12.5703125" style="241" customWidth="1"/>
    <col min="3592" max="3592" width="13" style="241" customWidth="1"/>
    <col min="3593" max="3836" width="8.85546875" style="241"/>
    <col min="3837" max="3837" width="17.42578125" style="241" customWidth="1"/>
    <col min="3838" max="3839" width="20.85546875" style="241" customWidth="1"/>
    <col min="3840" max="3840" width="26" style="241" bestFit="1" customWidth="1"/>
    <col min="3841" max="3841" width="21.28515625" style="241" bestFit="1" customWidth="1"/>
    <col min="3842" max="3842" width="20.140625" style="241" bestFit="1" customWidth="1"/>
    <col min="3843" max="3843" width="22.42578125" style="241" bestFit="1" customWidth="1"/>
    <col min="3844" max="3844" width="25.42578125" style="241" customWidth="1"/>
    <col min="3845" max="3845" width="14.5703125" style="241" customWidth="1"/>
    <col min="3846" max="3846" width="11.7109375" style="241" customWidth="1"/>
    <col min="3847" max="3847" width="12.5703125" style="241" customWidth="1"/>
    <col min="3848" max="3848" width="13" style="241" customWidth="1"/>
    <col min="3849" max="4092" width="8.85546875" style="241"/>
    <col min="4093" max="4093" width="17.42578125" style="241" customWidth="1"/>
    <col min="4094" max="4095" width="20.85546875" style="241" customWidth="1"/>
    <col min="4096" max="4096" width="26" style="241" bestFit="1" customWidth="1"/>
    <col min="4097" max="4097" width="21.28515625" style="241" bestFit="1" customWidth="1"/>
    <col min="4098" max="4098" width="20.140625" style="241" bestFit="1" customWidth="1"/>
    <col min="4099" max="4099" width="22.42578125" style="241" bestFit="1" customWidth="1"/>
    <col min="4100" max="4100" width="25.42578125" style="241" customWidth="1"/>
    <col min="4101" max="4101" width="14.5703125" style="241" customWidth="1"/>
    <col min="4102" max="4102" width="11.7109375" style="241" customWidth="1"/>
    <col min="4103" max="4103" width="12.5703125" style="241" customWidth="1"/>
    <col min="4104" max="4104" width="13" style="241" customWidth="1"/>
    <col min="4105" max="4348" width="8.85546875" style="241"/>
    <col min="4349" max="4349" width="17.42578125" style="241" customWidth="1"/>
    <col min="4350" max="4351" width="20.85546875" style="241" customWidth="1"/>
    <col min="4352" max="4352" width="26" style="241" bestFit="1" customWidth="1"/>
    <col min="4353" max="4353" width="21.28515625" style="241" bestFit="1" customWidth="1"/>
    <col min="4354" max="4354" width="20.140625" style="241" bestFit="1" customWidth="1"/>
    <col min="4355" max="4355" width="22.42578125" style="241" bestFit="1" customWidth="1"/>
    <col min="4356" max="4356" width="25.42578125" style="241" customWidth="1"/>
    <col min="4357" max="4357" width="14.5703125" style="241" customWidth="1"/>
    <col min="4358" max="4358" width="11.7109375" style="241" customWidth="1"/>
    <col min="4359" max="4359" width="12.5703125" style="241" customWidth="1"/>
    <col min="4360" max="4360" width="13" style="241" customWidth="1"/>
    <col min="4361" max="4604" width="8.85546875" style="241"/>
    <col min="4605" max="4605" width="17.42578125" style="241" customWidth="1"/>
    <col min="4606" max="4607" width="20.85546875" style="241" customWidth="1"/>
    <col min="4608" max="4608" width="26" style="241" bestFit="1" customWidth="1"/>
    <col min="4609" max="4609" width="21.28515625" style="241" bestFit="1" customWidth="1"/>
    <col min="4610" max="4610" width="20.140625" style="241" bestFit="1" customWidth="1"/>
    <col min="4611" max="4611" width="22.42578125" style="241" bestFit="1" customWidth="1"/>
    <col min="4612" max="4612" width="25.42578125" style="241" customWidth="1"/>
    <col min="4613" max="4613" width="14.5703125" style="241" customWidth="1"/>
    <col min="4614" max="4614" width="11.7109375" style="241" customWidth="1"/>
    <col min="4615" max="4615" width="12.5703125" style="241" customWidth="1"/>
    <col min="4616" max="4616" width="13" style="241" customWidth="1"/>
    <col min="4617" max="4860" width="8.85546875" style="241"/>
    <col min="4861" max="4861" width="17.42578125" style="241" customWidth="1"/>
    <col min="4862" max="4863" width="20.85546875" style="241" customWidth="1"/>
    <col min="4864" max="4864" width="26" style="241" bestFit="1" customWidth="1"/>
    <col min="4865" max="4865" width="21.28515625" style="241" bestFit="1" customWidth="1"/>
    <col min="4866" max="4866" width="20.140625" style="241" bestFit="1" customWidth="1"/>
    <col min="4867" max="4867" width="22.42578125" style="241" bestFit="1" customWidth="1"/>
    <col min="4868" max="4868" width="25.42578125" style="241" customWidth="1"/>
    <col min="4869" max="4869" width="14.5703125" style="241" customWidth="1"/>
    <col min="4870" max="4870" width="11.7109375" style="241" customWidth="1"/>
    <col min="4871" max="4871" width="12.5703125" style="241" customWidth="1"/>
    <col min="4872" max="4872" width="13" style="241" customWidth="1"/>
    <col min="4873" max="5116" width="8.85546875" style="241"/>
    <col min="5117" max="5117" width="17.42578125" style="241" customWidth="1"/>
    <col min="5118" max="5119" width="20.85546875" style="241" customWidth="1"/>
    <col min="5120" max="5120" width="26" style="241" bestFit="1" customWidth="1"/>
    <col min="5121" max="5121" width="21.28515625" style="241" bestFit="1" customWidth="1"/>
    <col min="5122" max="5122" width="20.140625" style="241" bestFit="1" customWidth="1"/>
    <col min="5123" max="5123" width="22.42578125" style="241" bestFit="1" customWidth="1"/>
    <col min="5124" max="5124" width="25.42578125" style="241" customWidth="1"/>
    <col min="5125" max="5125" width="14.5703125" style="241" customWidth="1"/>
    <col min="5126" max="5126" width="11.7109375" style="241" customWidth="1"/>
    <col min="5127" max="5127" width="12.5703125" style="241" customWidth="1"/>
    <col min="5128" max="5128" width="13" style="241" customWidth="1"/>
    <col min="5129" max="5372" width="8.85546875" style="241"/>
    <col min="5373" max="5373" width="17.42578125" style="241" customWidth="1"/>
    <col min="5374" max="5375" width="20.85546875" style="241" customWidth="1"/>
    <col min="5376" max="5376" width="26" style="241" bestFit="1" customWidth="1"/>
    <col min="5377" max="5377" width="21.28515625" style="241" bestFit="1" customWidth="1"/>
    <col min="5378" max="5378" width="20.140625" style="241" bestFit="1" customWidth="1"/>
    <col min="5379" max="5379" width="22.42578125" style="241" bestFit="1" customWidth="1"/>
    <col min="5380" max="5380" width="25.42578125" style="241" customWidth="1"/>
    <col min="5381" max="5381" width="14.5703125" style="241" customWidth="1"/>
    <col min="5382" max="5382" width="11.7109375" style="241" customWidth="1"/>
    <col min="5383" max="5383" width="12.5703125" style="241" customWidth="1"/>
    <col min="5384" max="5384" width="13" style="241" customWidth="1"/>
    <col min="5385" max="5628" width="8.85546875" style="241"/>
    <col min="5629" max="5629" width="17.42578125" style="241" customWidth="1"/>
    <col min="5630" max="5631" width="20.85546875" style="241" customWidth="1"/>
    <col min="5632" max="5632" width="26" style="241" bestFit="1" customWidth="1"/>
    <col min="5633" max="5633" width="21.28515625" style="241" bestFit="1" customWidth="1"/>
    <col min="5634" max="5634" width="20.140625" style="241" bestFit="1" customWidth="1"/>
    <col min="5635" max="5635" width="22.42578125" style="241" bestFit="1" customWidth="1"/>
    <col min="5636" max="5636" width="25.42578125" style="241" customWidth="1"/>
    <col min="5637" max="5637" width="14.5703125" style="241" customWidth="1"/>
    <col min="5638" max="5638" width="11.7109375" style="241" customWidth="1"/>
    <col min="5639" max="5639" width="12.5703125" style="241" customWidth="1"/>
    <col min="5640" max="5640" width="13" style="241" customWidth="1"/>
    <col min="5641" max="5884" width="8.85546875" style="241"/>
    <col min="5885" max="5885" width="17.42578125" style="241" customWidth="1"/>
    <col min="5886" max="5887" width="20.85546875" style="241" customWidth="1"/>
    <col min="5888" max="5888" width="26" style="241" bestFit="1" customWidth="1"/>
    <col min="5889" max="5889" width="21.28515625" style="241" bestFit="1" customWidth="1"/>
    <col min="5890" max="5890" width="20.140625" style="241" bestFit="1" customWidth="1"/>
    <col min="5891" max="5891" width="22.42578125" style="241" bestFit="1" customWidth="1"/>
    <col min="5892" max="5892" width="25.42578125" style="241" customWidth="1"/>
    <col min="5893" max="5893" width="14.5703125" style="241" customWidth="1"/>
    <col min="5894" max="5894" width="11.7109375" style="241" customWidth="1"/>
    <col min="5895" max="5895" width="12.5703125" style="241" customWidth="1"/>
    <col min="5896" max="5896" width="13" style="241" customWidth="1"/>
    <col min="5897" max="6140" width="8.85546875" style="241"/>
    <col min="6141" max="6141" width="17.42578125" style="241" customWidth="1"/>
    <col min="6142" max="6143" width="20.85546875" style="241" customWidth="1"/>
    <col min="6144" max="6144" width="26" style="241" bestFit="1" customWidth="1"/>
    <col min="6145" max="6145" width="21.28515625" style="241" bestFit="1" customWidth="1"/>
    <col min="6146" max="6146" width="20.140625" style="241" bestFit="1" customWidth="1"/>
    <col min="6147" max="6147" width="22.42578125" style="241" bestFit="1" customWidth="1"/>
    <col min="6148" max="6148" width="25.42578125" style="241" customWidth="1"/>
    <col min="6149" max="6149" width="14.5703125" style="241" customWidth="1"/>
    <col min="6150" max="6150" width="11.7109375" style="241" customWidth="1"/>
    <col min="6151" max="6151" width="12.5703125" style="241" customWidth="1"/>
    <col min="6152" max="6152" width="13" style="241" customWidth="1"/>
    <col min="6153" max="6396" width="8.85546875" style="241"/>
    <col min="6397" max="6397" width="17.42578125" style="241" customWidth="1"/>
    <col min="6398" max="6399" width="20.85546875" style="241" customWidth="1"/>
    <col min="6400" max="6400" width="26" style="241" bestFit="1" customWidth="1"/>
    <col min="6401" max="6401" width="21.28515625" style="241" bestFit="1" customWidth="1"/>
    <col min="6402" max="6402" width="20.140625" style="241" bestFit="1" customWidth="1"/>
    <col min="6403" max="6403" width="22.42578125" style="241" bestFit="1" customWidth="1"/>
    <col min="6404" max="6404" width="25.42578125" style="241" customWidth="1"/>
    <col min="6405" max="6405" width="14.5703125" style="241" customWidth="1"/>
    <col min="6406" max="6406" width="11.7109375" style="241" customWidth="1"/>
    <col min="6407" max="6407" width="12.5703125" style="241" customWidth="1"/>
    <col min="6408" max="6408" width="13" style="241" customWidth="1"/>
    <col min="6409" max="6652" width="8.85546875" style="241"/>
    <col min="6653" max="6653" width="17.42578125" style="241" customWidth="1"/>
    <col min="6654" max="6655" width="20.85546875" style="241" customWidth="1"/>
    <col min="6656" max="6656" width="26" style="241" bestFit="1" customWidth="1"/>
    <col min="6657" max="6657" width="21.28515625" style="241" bestFit="1" customWidth="1"/>
    <col min="6658" max="6658" width="20.140625" style="241" bestFit="1" customWidth="1"/>
    <col min="6659" max="6659" width="22.42578125" style="241" bestFit="1" customWidth="1"/>
    <col min="6660" max="6660" width="25.42578125" style="241" customWidth="1"/>
    <col min="6661" max="6661" width="14.5703125" style="241" customWidth="1"/>
    <col min="6662" max="6662" width="11.7109375" style="241" customWidth="1"/>
    <col min="6663" max="6663" width="12.5703125" style="241" customWidth="1"/>
    <col min="6664" max="6664" width="13" style="241" customWidth="1"/>
    <col min="6665" max="6908" width="8.85546875" style="241"/>
    <col min="6909" max="6909" width="17.42578125" style="241" customWidth="1"/>
    <col min="6910" max="6911" width="20.85546875" style="241" customWidth="1"/>
    <col min="6912" max="6912" width="26" style="241" bestFit="1" customWidth="1"/>
    <col min="6913" max="6913" width="21.28515625" style="241" bestFit="1" customWidth="1"/>
    <col min="6914" max="6914" width="20.140625" style="241" bestFit="1" customWidth="1"/>
    <col min="6915" max="6915" width="22.42578125" style="241" bestFit="1" customWidth="1"/>
    <col min="6916" max="6916" width="25.42578125" style="241" customWidth="1"/>
    <col min="6917" max="6917" width="14.5703125" style="241" customWidth="1"/>
    <col min="6918" max="6918" width="11.7109375" style="241" customWidth="1"/>
    <col min="6919" max="6919" width="12.5703125" style="241" customWidth="1"/>
    <col min="6920" max="6920" width="13" style="241" customWidth="1"/>
    <col min="6921" max="7164" width="8.85546875" style="241"/>
    <col min="7165" max="7165" width="17.42578125" style="241" customWidth="1"/>
    <col min="7166" max="7167" width="20.85546875" style="241" customWidth="1"/>
    <col min="7168" max="7168" width="26" style="241" bestFit="1" customWidth="1"/>
    <col min="7169" max="7169" width="21.28515625" style="241" bestFit="1" customWidth="1"/>
    <col min="7170" max="7170" width="20.140625" style="241" bestFit="1" customWidth="1"/>
    <col min="7171" max="7171" width="22.42578125" style="241" bestFit="1" customWidth="1"/>
    <col min="7172" max="7172" width="25.42578125" style="241" customWidth="1"/>
    <col min="7173" max="7173" width="14.5703125" style="241" customWidth="1"/>
    <col min="7174" max="7174" width="11.7109375" style="241" customWidth="1"/>
    <col min="7175" max="7175" width="12.5703125" style="241" customWidth="1"/>
    <col min="7176" max="7176" width="13" style="241" customWidth="1"/>
    <col min="7177" max="7420" width="8.85546875" style="241"/>
    <col min="7421" max="7421" width="17.42578125" style="241" customWidth="1"/>
    <col min="7422" max="7423" width="20.85546875" style="241" customWidth="1"/>
    <col min="7424" max="7424" width="26" style="241" bestFit="1" customWidth="1"/>
    <col min="7425" max="7425" width="21.28515625" style="241" bestFit="1" customWidth="1"/>
    <col min="7426" max="7426" width="20.140625" style="241" bestFit="1" customWidth="1"/>
    <col min="7427" max="7427" width="22.42578125" style="241" bestFit="1" customWidth="1"/>
    <col min="7428" max="7428" width="25.42578125" style="241" customWidth="1"/>
    <col min="7429" max="7429" width="14.5703125" style="241" customWidth="1"/>
    <col min="7430" max="7430" width="11.7109375" style="241" customWidth="1"/>
    <col min="7431" max="7431" width="12.5703125" style="241" customWidth="1"/>
    <col min="7432" max="7432" width="13" style="241" customWidth="1"/>
    <col min="7433" max="7676" width="8.85546875" style="241"/>
    <col min="7677" max="7677" width="17.42578125" style="241" customWidth="1"/>
    <col min="7678" max="7679" width="20.85546875" style="241" customWidth="1"/>
    <col min="7680" max="7680" width="26" style="241" bestFit="1" customWidth="1"/>
    <col min="7681" max="7681" width="21.28515625" style="241" bestFit="1" customWidth="1"/>
    <col min="7682" max="7682" width="20.140625" style="241" bestFit="1" customWidth="1"/>
    <col min="7683" max="7683" width="22.42578125" style="241" bestFit="1" customWidth="1"/>
    <col min="7684" max="7684" width="25.42578125" style="241" customWidth="1"/>
    <col min="7685" max="7685" width="14.5703125" style="241" customWidth="1"/>
    <col min="7686" max="7686" width="11.7109375" style="241" customWidth="1"/>
    <col min="7687" max="7687" width="12.5703125" style="241" customWidth="1"/>
    <col min="7688" max="7688" width="13" style="241" customWidth="1"/>
    <col min="7689" max="7932" width="8.85546875" style="241"/>
    <col min="7933" max="7933" width="17.42578125" style="241" customWidth="1"/>
    <col min="7934" max="7935" width="20.85546875" style="241" customWidth="1"/>
    <col min="7936" max="7936" width="26" style="241" bestFit="1" customWidth="1"/>
    <col min="7937" max="7937" width="21.28515625" style="241" bestFit="1" customWidth="1"/>
    <col min="7938" max="7938" width="20.140625" style="241" bestFit="1" customWidth="1"/>
    <col min="7939" max="7939" width="22.42578125" style="241" bestFit="1" customWidth="1"/>
    <col min="7940" max="7940" width="25.42578125" style="241" customWidth="1"/>
    <col min="7941" max="7941" width="14.5703125" style="241" customWidth="1"/>
    <col min="7942" max="7942" width="11.7109375" style="241" customWidth="1"/>
    <col min="7943" max="7943" width="12.5703125" style="241" customWidth="1"/>
    <col min="7944" max="7944" width="13" style="241" customWidth="1"/>
    <col min="7945" max="8188" width="8.85546875" style="241"/>
    <col min="8189" max="8189" width="17.42578125" style="241" customWidth="1"/>
    <col min="8190" max="8191" width="20.85546875" style="241" customWidth="1"/>
    <col min="8192" max="8192" width="26" style="241" bestFit="1" customWidth="1"/>
    <col min="8193" max="8193" width="21.28515625" style="241" bestFit="1" customWidth="1"/>
    <col min="8194" max="8194" width="20.140625" style="241" bestFit="1" customWidth="1"/>
    <col min="8195" max="8195" width="22.42578125" style="241" bestFit="1" customWidth="1"/>
    <col min="8196" max="8196" width="25.42578125" style="241" customWidth="1"/>
    <col min="8197" max="8197" width="14.5703125" style="241" customWidth="1"/>
    <col min="8198" max="8198" width="11.7109375" style="241" customWidth="1"/>
    <col min="8199" max="8199" width="12.5703125" style="241" customWidth="1"/>
    <col min="8200" max="8200" width="13" style="241" customWidth="1"/>
    <col min="8201" max="8444" width="8.85546875" style="241"/>
    <col min="8445" max="8445" width="17.42578125" style="241" customWidth="1"/>
    <col min="8446" max="8447" width="20.85546875" style="241" customWidth="1"/>
    <col min="8448" max="8448" width="26" style="241" bestFit="1" customWidth="1"/>
    <col min="8449" max="8449" width="21.28515625" style="241" bestFit="1" customWidth="1"/>
    <col min="8450" max="8450" width="20.140625" style="241" bestFit="1" customWidth="1"/>
    <col min="8451" max="8451" width="22.42578125" style="241" bestFit="1" customWidth="1"/>
    <col min="8452" max="8452" width="25.42578125" style="241" customWidth="1"/>
    <col min="8453" max="8453" width="14.5703125" style="241" customWidth="1"/>
    <col min="8454" max="8454" width="11.7109375" style="241" customWidth="1"/>
    <col min="8455" max="8455" width="12.5703125" style="241" customWidth="1"/>
    <col min="8456" max="8456" width="13" style="241" customWidth="1"/>
    <col min="8457" max="8700" width="8.85546875" style="241"/>
    <col min="8701" max="8701" width="17.42578125" style="241" customWidth="1"/>
    <col min="8702" max="8703" width="20.85546875" style="241" customWidth="1"/>
    <col min="8704" max="8704" width="26" style="241" bestFit="1" customWidth="1"/>
    <col min="8705" max="8705" width="21.28515625" style="241" bestFit="1" customWidth="1"/>
    <col min="8706" max="8706" width="20.140625" style="241" bestFit="1" customWidth="1"/>
    <col min="8707" max="8707" width="22.42578125" style="241" bestFit="1" customWidth="1"/>
    <col min="8708" max="8708" width="25.42578125" style="241" customWidth="1"/>
    <col min="8709" max="8709" width="14.5703125" style="241" customWidth="1"/>
    <col min="8710" max="8710" width="11.7109375" style="241" customWidth="1"/>
    <col min="8711" max="8711" width="12.5703125" style="241" customWidth="1"/>
    <col min="8712" max="8712" width="13" style="241" customWidth="1"/>
    <col min="8713" max="8956" width="8.85546875" style="241"/>
    <col min="8957" max="8957" width="17.42578125" style="241" customWidth="1"/>
    <col min="8958" max="8959" width="20.85546875" style="241" customWidth="1"/>
    <col min="8960" max="8960" width="26" style="241" bestFit="1" customWidth="1"/>
    <col min="8961" max="8961" width="21.28515625" style="241" bestFit="1" customWidth="1"/>
    <col min="8962" max="8962" width="20.140625" style="241" bestFit="1" customWidth="1"/>
    <col min="8963" max="8963" width="22.42578125" style="241" bestFit="1" customWidth="1"/>
    <col min="8964" max="8964" width="25.42578125" style="241" customWidth="1"/>
    <col min="8965" max="8965" width="14.5703125" style="241" customWidth="1"/>
    <col min="8966" max="8966" width="11.7109375" style="241" customWidth="1"/>
    <col min="8967" max="8967" width="12.5703125" style="241" customWidth="1"/>
    <col min="8968" max="8968" width="13" style="241" customWidth="1"/>
    <col min="8969" max="9212" width="8.85546875" style="241"/>
    <col min="9213" max="9213" width="17.42578125" style="241" customWidth="1"/>
    <col min="9214" max="9215" width="20.85546875" style="241" customWidth="1"/>
    <col min="9216" max="9216" width="26" style="241" bestFit="1" customWidth="1"/>
    <col min="9217" max="9217" width="21.28515625" style="241" bestFit="1" customWidth="1"/>
    <col min="9218" max="9218" width="20.140625" style="241" bestFit="1" customWidth="1"/>
    <col min="9219" max="9219" width="22.42578125" style="241" bestFit="1" customWidth="1"/>
    <col min="9220" max="9220" width="25.42578125" style="241" customWidth="1"/>
    <col min="9221" max="9221" width="14.5703125" style="241" customWidth="1"/>
    <col min="9222" max="9222" width="11.7109375" style="241" customWidth="1"/>
    <col min="9223" max="9223" width="12.5703125" style="241" customWidth="1"/>
    <col min="9224" max="9224" width="13" style="241" customWidth="1"/>
    <col min="9225" max="9468" width="8.85546875" style="241"/>
    <col min="9469" max="9469" width="17.42578125" style="241" customWidth="1"/>
    <col min="9470" max="9471" width="20.85546875" style="241" customWidth="1"/>
    <col min="9472" max="9472" width="26" style="241" bestFit="1" customWidth="1"/>
    <col min="9473" max="9473" width="21.28515625" style="241" bestFit="1" customWidth="1"/>
    <col min="9474" max="9474" width="20.140625" style="241" bestFit="1" customWidth="1"/>
    <col min="9475" max="9475" width="22.42578125" style="241" bestFit="1" customWidth="1"/>
    <col min="9476" max="9476" width="25.42578125" style="241" customWidth="1"/>
    <col min="9477" max="9477" width="14.5703125" style="241" customWidth="1"/>
    <col min="9478" max="9478" width="11.7109375" style="241" customWidth="1"/>
    <col min="9479" max="9479" width="12.5703125" style="241" customWidth="1"/>
    <col min="9480" max="9480" width="13" style="241" customWidth="1"/>
    <col min="9481" max="9724" width="8.85546875" style="241"/>
    <col min="9725" max="9725" width="17.42578125" style="241" customWidth="1"/>
    <col min="9726" max="9727" width="20.85546875" style="241" customWidth="1"/>
    <col min="9728" max="9728" width="26" style="241" bestFit="1" customWidth="1"/>
    <col min="9729" max="9729" width="21.28515625" style="241" bestFit="1" customWidth="1"/>
    <col min="9730" max="9730" width="20.140625" style="241" bestFit="1" customWidth="1"/>
    <col min="9731" max="9731" width="22.42578125" style="241" bestFit="1" customWidth="1"/>
    <col min="9732" max="9732" width="25.42578125" style="241" customWidth="1"/>
    <col min="9733" max="9733" width="14.5703125" style="241" customWidth="1"/>
    <col min="9734" max="9734" width="11.7109375" style="241" customWidth="1"/>
    <col min="9735" max="9735" width="12.5703125" style="241" customWidth="1"/>
    <col min="9736" max="9736" width="13" style="241" customWidth="1"/>
    <col min="9737" max="9980" width="8.85546875" style="241"/>
    <col min="9981" max="9981" width="17.42578125" style="241" customWidth="1"/>
    <col min="9982" max="9983" width="20.85546875" style="241" customWidth="1"/>
    <col min="9984" max="9984" width="26" style="241" bestFit="1" customWidth="1"/>
    <col min="9985" max="9985" width="21.28515625" style="241" bestFit="1" customWidth="1"/>
    <col min="9986" max="9986" width="20.140625" style="241" bestFit="1" customWidth="1"/>
    <col min="9987" max="9987" width="22.42578125" style="241" bestFit="1" customWidth="1"/>
    <col min="9988" max="9988" width="25.42578125" style="241" customWidth="1"/>
    <col min="9989" max="9989" width="14.5703125" style="241" customWidth="1"/>
    <col min="9990" max="9990" width="11.7109375" style="241" customWidth="1"/>
    <col min="9991" max="9991" width="12.5703125" style="241" customWidth="1"/>
    <col min="9992" max="9992" width="13" style="241" customWidth="1"/>
    <col min="9993" max="10236" width="8.85546875" style="241"/>
    <col min="10237" max="10237" width="17.42578125" style="241" customWidth="1"/>
    <col min="10238" max="10239" width="20.85546875" style="241" customWidth="1"/>
    <col min="10240" max="10240" width="26" style="241" bestFit="1" customWidth="1"/>
    <col min="10241" max="10241" width="21.28515625" style="241" bestFit="1" customWidth="1"/>
    <col min="10242" max="10242" width="20.140625" style="241" bestFit="1" customWidth="1"/>
    <col min="10243" max="10243" width="22.42578125" style="241" bestFit="1" customWidth="1"/>
    <col min="10244" max="10244" width="25.42578125" style="241" customWidth="1"/>
    <col min="10245" max="10245" width="14.5703125" style="241" customWidth="1"/>
    <col min="10246" max="10246" width="11.7109375" style="241" customWidth="1"/>
    <col min="10247" max="10247" width="12.5703125" style="241" customWidth="1"/>
    <col min="10248" max="10248" width="13" style="241" customWidth="1"/>
    <col min="10249" max="10492" width="8.85546875" style="241"/>
    <col min="10493" max="10493" width="17.42578125" style="241" customWidth="1"/>
    <col min="10494" max="10495" width="20.85546875" style="241" customWidth="1"/>
    <col min="10496" max="10496" width="26" style="241" bestFit="1" customWidth="1"/>
    <col min="10497" max="10497" width="21.28515625" style="241" bestFit="1" customWidth="1"/>
    <col min="10498" max="10498" width="20.140625" style="241" bestFit="1" customWidth="1"/>
    <col min="10499" max="10499" width="22.42578125" style="241" bestFit="1" customWidth="1"/>
    <col min="10500" max="10500" width="25.42578125" style="241" customWidth="1"/>
    <col min="10501" max="10501" width="14.5703125" style="241" customWidth="1"/>
    <col min="10502" max="10502" width="11.7109375" style="241" customWidth="1"/>
    <col min="10503" max="10503" width="12.5703125" style="241" customWidth="1"/>
    <col min="10504" max="10504" width="13" style="241" customWidth="1"/>
    <col min="10505" max="10748" width="8.85546875" style="241"/>
    <col min="10749" max="10749" width="17.42578125" style="241" customWidth="1"/>
    <col min="10750" max="10751" width="20.85546875" style="241" customWidth="1"/>
    <col min="10752" max="10752" width="26" style="241" bestFit="1" customWidth="1"/>
    <col min="10753" max="10753" width="21.28515625" style="241" bestFit="1" customWidth="1"/>
    <col min="10754" max="10754" width="20.140625" style="241" bestFit="1" customWidth="1"/>
    <col min="10755" max="10755" width="22.42578125" style="241" bestFit="1" customWidth="1"/>
    <col min="10756" max="10756" width="25.42578125" style="241" customWidth="1"/>
    <col min="10757" max="10757" width="14.5703125" style="241" customWidth="1"/>
    <col min="10758" max="10758" width="11.7109375" style="241" customWidth="1"/>
    <col min="10759" max="10759" width="12.5703125" style="241" customWidth="1"/>
    <col min="10760" max="10760" width="13" style="241" customWidth="1"/>
    <col min="10761" max="11004" width="8.85546875" style="241"/>
    <col min="11005" max="11005" width="17.42578125" style="241" customWidth="1"/>
    <col min="11006" max="11007" width="20.85546875" style="241" customWidth="1"/>
    <col min="11008" max="11008" width="26" style="241" bestFit="1" customWidth="1"/>
    <col min="11009" max="11009" width="21.28515625" style="241" bestFit="1" customWidth="1"/>
    <col min="11010" max="11010" width="20.140625" style="241" bestFit="1" customWidth="1"/>
    <col min="11011" max="11011" width="22.42578125" style="241" bestFit="1" customWidth="1"/>
    <col min="11012" max="11012" width="25.42578125" style="241" customWidth="1"/>
    <col min="11013" max="11013" width="14.5703125" style="241" customWidth="1"/>
    <col min="11014" max="11014" width="11.7109375" style="241" customWidth="1"/>
    <col min="11015" max="11015" width="12.5703125" style="241" customWidth="1"/>
    <col min="11016" max="11016" width="13" style="241" customWidth="1"/>
    <col min="11017" max="11260" width="8.85546875" style="241"/>
    <col min="11261" max="11261" width="17.42578125" style="241" customWidth="1"/>
    <col min="11262" max="11263" width="20.85546875" style="241" customWidth="1"/>
    <col min="11264" max="11264" width="26" style="241" bestFit="1" customWidth="1"/>
    <col min="11265" max="11265" width="21.28515625" style="241" bestFit="1" customWidth="1"/>
    <col min="11266" max="11266" width="20.140625" style="241" bestFit="1" customWidth="1"/>
    <col min="11267" max="11267" width="22.42578125" style="241" bestFit="1" customWidth="1"/>
    <col min="11268" max="11268" width="25.42578125" style="241" customWidth="1"/>
    <col min="11269" max="11269" width="14.5703125" style="241" customWidth="1"/>
    <col min="11270" max="11270" width="11.7109375" style="241" customWidth="1"/>
    <col min="11271" max="11271" width="12.5703125" style="241" customWidth="1"/>
    <col min="11272" max="11272" width="13" style="241" customWidth="1"/>
    <col min="11273" max="11516" width="8.85546875" style="241"/>
    <col min="11517" max="11517" width="17.42578125" style="241" customWidth="1"/>
    <col min="11518" max="11519" width="20.85546875" style="241" customWidth="1"/>
    <col min="11520" max="11520" width="26" style="241" bestFit="1" customWidth="1"/>
    <col min="11521" max="11521" width="21.28515625" style="241" bestFit="1" customWidth="1"/>
    <col min="11522" max="11522" width="20.140625" style="241" bestFit="1" customWidth="1"/>
    <col min="11523" max="11523" width="22.42578125" style="241" bestFit="1" customWidth="1"/>
    <col min="11524" max="11524" width="25.42578125" style="241" customWidth="1"/>
    <col min="11525" max="11525" width="14.5703125" style="241" customWidth="1"/>
    <col min="11526" max="11526" width="11.7109375" style="241" customWidth="1"/>
    <col min="11527" max="11527" width="12.5703125" style="241" customWidth="1"/>
    <col min="11528" max="11528" width="13" style="241" customWidth="1"/>
    <col min="11529" max="11772" width="8.85546875" style="241"/>
    <col min="11773" max="11773" width="17.42578125" style="241" customWidth="1"/>
    <col min="11774" max="11775" width="20.85546875" style="241" customWidth="1"/>
    <col min="11776" max="11776" width="26" style="241" bestFit="1" customWidth="1"/>
    <col min="11777" max="11777" width="21.28515625" style="241" bestFit="1" customWidth="1"/>
    <col min="11778" max="11778" width="20.140625" style="241" bestFit="1" customWidth="1"/>
    <col min="11779" max="11779" width="22.42578125" style="241" bestFit="1" customWidth="1"/>
    <col min="11780" max="11780" width="25.42578125" style="241" customWidth="1"/>
    <col min="11781" max="11781" width="14.5703125" style="241" customWidth="1"/>
    <col min="11782" max="11782" width="11.7109375" style="241" customWidth="1"/>
    <col min="11783" max="11783" width="12.5703125" style="241" customWidth="1"/>
    <col min="11784" max="11784" width="13" style="241" customWidth="1"/>
    <col min="11785" max="12028" width="8.85546875" style="241"/>
    <col min="12029" max="12029" width="17.42578125" style="241" customWidth="1"/>
    <col min="12030" max="12031" width="20.85546875" style="241" customWidth="1"/>
    <col min="12032" max="12032" width="26" style="241" bestFit="1" customWidth="1"/>
    <col min="12033" max="12033" width="21.28515625" style="241" bestFit="1" customWidth="1"/>
    <col min="12034" max="12034" width="20.140625" style="241" bestFit="1" customWidth="1"/>
    <col min="12035" max="12035" width="22.42578125" style="241" bestFit="1" customWidth="1"/>
    <col min="12036" max="12036" width="25.42578125" style="241" customWidth="1"/>
    <col min="12037" max="12037" width="14.5703125" style="241" customWidth="1"/>
    <col min="12038" max="12038" width="11.7109375" style="241" customWidth="1"/>
    <col min="12039" max="12039" width="12.5703125" style="241" customWidth="1"/>
    <col min="12040" max="12040" width="13" style="241" customWidth="1"/>
    <col min="12041" max="12284" width="8.85546875" style="241"/>
    <col min="12285" max="12285" width="17.42578125" style="241" customWidth="1"/>
    <col min="12286" max="12287" width="20.85546875" style="241" customWidth="1"/>
    <col min="12288" max="12288" width="26" style="241" bestFit="1" customWidth="1"/>
    <col min="12289" max="12289" width="21.28515625" style="241" bestFit="1" customWidth="1"/>
    <col min="12290" max="12290" width="20.140625" style="241" bestFit="1" customWidth="1"/>
    <col min="12291" max="12291" width="22.42578125" style="241" bestFit="1" customWidth="1"/>
    <col min="12292" max="12292" width="25.42578125" style="241" customWidth="1"/>
    <col min="12293" max="12293" width="14.5703125" style="241" customWidth="1"/>
    <col min="12294" max="12294" width="11.7109375" style="241" customWidth="1"/>
    <col min="12295" max="12295" width="12.5703125" style="241" customWidth="1"/>
    <col min="12296" max="12296" width="13" style="241" customWidth="1"/>
    <col min="12297" max="12540" width="8.85546875" style="241"/>
    <col min="12541" max="12541" width="17.42578125" style="241" customWidth="1"/>
    <col min="12542" max="12543" width="20.85546875" style="241" customWidth="1"/>
    <col min="12544" max="12544" width="26" style="241" bestFit="1" customWidth="1"/>
    <col min="12545" max="12545" width="21.28515625" style="241" bestFit="1" customWidth="1"/>
    <col min="12546" max="12546" width="20.140625" style="241" bestFit="1" customWidth="1"/>
    <col min="12547" max="12547" width="22.42578125" style="241" bestFit="1" customWidth="1"/>
    <col min="12548" max="12548" width="25.42578125" style="241" customWidth="1"/>
    <col min="12549" max="12549" width="14.5703125" style="241" customWidth="1"/>
    <col min="12550" max="12550" width="11.7109375" style="241" customWidth="1"/>
    <col min="12551" max="12551" width="12.5703125" style="241" customWidth="1"/>
    <col min="12552" max="12552" width="13" style="241" customWidth="1"/>
    <col min="12553" max="12796" width="8.85546875" style="241"/>
    <col min="12797" max="12797" width="17.42578125" style="241" customWidth="1"/>
    <col min="12798" max="12799" width="20.85546875" style="241" customWidth="1"/>
    <col min="12800" max="12800" width="26" style="241" bestFit="1" customWidth="1"/>
    <col min="12801" max="12801" width="21.28515625" style="241" bestFit="1" customWidth="1"/>
    <col min="12802" max="12802" width="20.140625" style="241" bestFit="1" customWidth="1"/>
    <col min="12803" max="12803" width="22.42578125" style="241" bestFit="1" customWidth="1"/>
    <col min="12804" max="12804" width="25.42578125" style="241" customWidth="1"/>
    <col min="12805" max="12805" width="14.5703125" style="241" customWidth="1"/>
    <col min="12806" max="12806" width="11.7109375" style="241" customWidth="1"/>
    <col min="12807" max="12807" width="12.5703125" style="241" customWidth="1"/>
    <col min="12808" max="12808" width="13" style="241" customWidth="1"/>
    <col min="12809" max="13052" width="8.85546875" style="241"/>
    <col min="13053" max="13053" width="17.42578125" style="241" customWidth="1"/>
    <col min="13054" max="13055" width="20.85546875" style="241" customWidth="1"/>
    <col min="13056" max="13056" width="26" style="241" bestFit="1" customWidth="1"/>
    <col min="13057" max="13057" width="21.28515625" style="241" bestFit="1" customWidth="1"/>
    <col min="13058" max="13058" width="20.140625" style="241" bestFit="1" customWidth="1"/>
    <col min="13059" max="13059" width="22.42578125" style="241" bestFit="1" customWidth="1"/>
    <col min="13060" max="13060" width="25.42578125" style="241" customWidth="1"/>
    <col min="13061" max="13061" width="14.5703125" style="241" customWidth="1"/>
    <col min="13062" max="13062" width="11.7109375" style="241" customWidth="1"/>
    <col min="13063" max="13063" width="12.5703125" style="241" customWidth="1"/>
    <col min="13064" max="13064" width="13" style="241" customWidth="1"/>
    <col min="13065" max="13308" width="8.85546875" style="241"/>
    <col min="13309" max="13309" width="17.42578125" style="241" customWidth="1"/>
    <col min="13310" max="13311" width="20.85546875" style="241" customWidth="1"/>
    <col min="13312" max="13312" width="26" style="241" bestFit="1" customWidth="1"/>
    <col min="13313" max="13313" width="21.28515625" style="241" bestFit="1" customWidth="1"/>
    <col min="13314" max="13314" width="20.140625" style="241" bestFit="1" customWidth="1"/>
    <col min="13315" max="13315" width="22.42578125" style="241" bestFit="1" customWidth="1"/>
    <col min="13316" max="13316" width="25.42578125" style="241" customWidth="1"/>
    <col min="13317" max="13317" width="14.5703125" style="241" customWidth="1"/>
    <col min="13318" max="13318" width="11.7109375" style="241" customWidth="1"/>
    <col min="13319" max="13319" width="12.5703125" style="241" customWidth="1"/>
    <col min="13320" max="13320" width="13" style="241" customWidth="1"/>
    <col min="13321" max="13564" width="8.85546875" style="241"/>
    <col min="13565" max="13565" width="17.42578125" style="241" customWidth="1"/>
    <col min="13566" max="13567" width="20.85546875" style="241" customWidth="1"/>
    <col min="13568" max="13568" width="26" style="241" bestFit="1" customWidth="1"/>
    <col min="13569" max="13569" width="21.28515625" style="241" bestFit="1" customWidth="1"/>
    <col min="13570" max="13570" width="20.140625" style="241" bestFit="1" customWidth="1"/>
    <col min="13571" max="13571" width="22.42578125" style="241" bestFit="1" customWidth="1"/>
    <col min="13572" max="13572" width="25.42578125" style="241" customWidth="1"/>
    <col min="13573" max="13573" width="14.5703125" style="241" customWidth="1"/>
    <col min="13574" max="13574" width="11.7109375" style="241" customWidth="1"/>
    <col min="13575" max="13575" width="12.5703125" style="241" customWidth="1"/>
    <col min="13576" max="13576" width="13" style="241" customWidth="1"/>
    <col min="13577" max="13820" width="8.85546875" style="241"/>
    <col min="13821" max="13821" width="17.42578125" style="241" customWidth="1"/>
    <col min="13822" max="13823" width="20.85546875" style="241" customWidth="1"/>
    <col min="13824" max="13824" width="26" style="241" bestFit="1" customWidth="1"/>
    <col min="13825" max="13825" width="21.28515625" style="241" bestFit="1" customWidth="1"/>
    <col min="13826" max="13826" width="20.140625" style="241" bestFit="1" customWidth="1"/>
    <col min="13827" max="13827" width="22.42578125" style="241" bestFit="1" customWidth="1"/>
    <col min="13828" max="13828" width="25.42578125" style="241" customWidth="1"/>
    <col min="13829" max="13829" width="14.5703125" style="241" customWidth="1"/>
    <col min="13830" max="13830" width="11.7109375" style="241" customWidth="1"/>
    <col min="13831" max="13831" width="12.5703125" style="241" customWidth="1"/>
    <col min="13832" max="13832" width="13" style="241" customWidth="1"/>
    <col min="13833" max="14076" width="8.85546875" style="241"/>
    <col min="14077" max="14077" width="17.42578125" style="241" customWidth="1"/>
    <col min="14078" max="14079" width="20.85546875" style="241" customWidth="1"/>
    <col min="14080" max="14080" width="26" style="241" bestFit="1" customWidth="1"/>
    <col min="14081" max="14081" width="21.28515625" style="241" bestFit="1" customWidth="1"/>
    <col min="14082" max="14082" width="20.140625" style="241" bestFit="1" customWidth="1"/>
    <col min="14083" max="14083" width="22.42578125" style="241" bestFit="1" customWidth="1"/>
    <col min="14084" max="14084" width="25.42578125" style="241" customWidth="1"/>
    <col min="14085" max="14085" width="14.5703125" style="241" customWidth="1"/>
    <col min="14086" max="14086" width="11.7109375" style="241" customWidth="1"/>
    <col min="14087" max="14087" width="12.5703125" style="241" customWidth="1"/>
    <col min="14088" max="14088" width="13" style="241" customWidth="1"/>
    <col min="14089" max="14332" width="8.85546875" style="241"/>
    <col min="14333" max="14333" width="17.42578125" style="241" customWidth="1"/>
    <col min="14334" max="14335" width="20.85546875" style="241" customWidth="1"/>
    <col min="14336" max="14336" width="26" style="241" bestFit="1" customWidth="1"/>
    <col min="14337" max="14337" width="21.28515625" style="241" bestFit="1" customWidth="1"/>
    <col min="14338" max="14338" width="20.140625" style="241" bestFit="1" customWidth="1"/>
    <col min="14339" max="14339" width="22.42578125" style="241" bestFit="1" customWidth="1"/>
    <col min="14340" max="14340" width="25.42578125" style="241" customWidth="1"/>
    <col min="14341" max="14341" width="14.5703125" style="241" customWidth="1"/>
    <col min="14342" max="14342" width="11.7109375" style="241" customWidth="1"/>
    <col min="14343" max="14343" width="12.5703125" style="241" customWidth="1"/>
    <col min="14344" max="14344" width="13" style="241" customWidth="1"/>
    <col min="14345" max="14588" width="8.85546875" style="241"/>
    <col min="14589" max="14589" width="17.42578125" style="241" customWidth="1"/>
    <col min="14590" max="14591" width="20.85546875" style="241" customWidth="1"/>
    <col min="14592" max="14592" width="26" style="241" bestFit="1" customWidth="1"/>
    <col min="14593" max="14593" width="21.28515625" style="241" bestFit="1" customWidth="1"/>
    <col min="14594" max="14594" width="20.140625" style="241" bestFit="1" customWidth="1"/>
    <col min="14595" max="14595" width="22.42578125" style="241" bestFit="1" customWidth="1"/>
    <col min="14596" max="14596" width="25.42578125" style="241" customWidth="1"/>
    <col min="14597" max="14597" width="14.5703125" style="241" customWidth="1"/>
    <col min="14598" max="14598" width="11.7109375" style="241" customWidth="1"/>
    <col min="14599" max="14599" width="12.5703125" style="241" customWidth="1"/>
    <col min="14600" max="14600" width="13" style="241" customWidth="1"/>
    <col min="14601" max="14844" width="8.85546875" style="241"/>
    <col min="14845" max="14845" width="17.42578125" style="241" customWidth="1"/>
    <col min="14846" max="14847" width="20.85546875" style="241" customWidth="1"/>
    <col min="14848" max="14848" width="26" style="241" bestFit="1" customWidth="1"/>
    <col min="14849" max="14849" width="21.28515625" style="241" bestFit="1" customWidth="1"/>
    <col min="14850" max="14850" width="20.140625" style="241" bestFit="1" customWidth="1"/>
    <col min="14851" max="14851" width="22.42578125" style="241" bestFit="1" customWidth="1"/>
    <col min="14852" max="14852" width="25.42578125" style="241" customWidth="1"/>
    <col min="14853" max="14853" width="14.5703125" style="241" customWidth="1"/>
    <col min="14854" max="14854" width="11.7109375" style="241" customWidth="1"/>
    <col min="14855" max="14855" width="12.5703125" style="241" customWidth="1"/>
    <col min="14856" max="14856" width="13" style="241" customWidth="1"/>
    <col min="14857" max="15100" width="8.85546875" style="241"/>
    <col min="15101" max="15101" width="17.42578125" style="241" customWidth="1"/>
    <col min="15102" max="15103" width="20.85546875" style="241" customWidth="1"/>
    <col min="15104" max="15104" width="26" style="241" bestFit="1" customWidth="1"/>
    <col min="15105" max="15105" width="21.28515625" style="241" bestFit="1" customWidth="1"/>
    <col min="15106" max="15106" width="20.140625" style="241" bestFit="1" customWidth="1"/>
    <col min="15107" max="15107" width="22.42578125" style="241" bestFit="1" customWidth="1"/>
    <col min="15108" max="15108" width="25.42578125" style="241" customWidth="1"/>
    <col min="15109" max="15109" width="14.5703125" style="241" customWidth="1"/>
    <col min="15110" max="15110" width="11.7109375" style="241" customWidth="1"/>
    <col min="15111" max="15111" width="12.5703125" style="241" customWidth="1"/>
    <col min="15112" max="15112" width="13" style="241" customWidth="1"/>
    <col min="15113" max="15356" width="8.85546875" style="241"/>
    <col min="15357" max="15357" width="17.42578125" style="241" customWidth="1"/>
    <col min="15358" max="15359" width="20.85546875" style="241" customWidth="1"/>
    <col min="15360" max="15360" width="26" style="241" bestFit="1" customWidth="1"/>
    <col min="15361" max="15361" width="21.28515625" style="241" bestFit="1" customWidth="1"/>
    <col min="15362" max="15362" width="20.140625" style="241" bestFit="1" customWidth="1"/>
    <col min="15363" max="15363" width="22.42578125" style="241" bestFit="1" customWidth="1"/>
    <col min="15364" max="15364" width="25.42578125" style="241" customWidth="1"/>
    <col min="15365" max="15365" width="14.5703125" style="241" customWidth="1"/>
    <col min="15366" max="15366" width="11.7109375" style="241" customWidth="1"/>
    <col min="15367" max="15367" width="12.5703125" style="241" customWidth="1"/>
    <col min="15368" max="15368" width="13" style="241" customWidth="1"/>
    <col min="15369" max="15612" width="8.85546875" style="241"/>
    <col min="15613" max="15613" width="17.42578125" style="241" customWidth="1"/>
    <col min="15614" max="15615" width="20.85546875" style="241" customWidth="1"/>
    <col min="15616" max="15616" width="26" style="241" bestFit="1" customWidth="1"/>
    <col min="15617" max="15617" width="21.28515625" style="241" bestFit="1" customWidth="1"/>
    <col min="15618" max="15618" width="20.140625" style="241" bestFit="1" customWidth="1"/>
    <col min="15619" max="15619" width="22.42578125" style="241" bestFit="1" customWidth="1"/>
    <col min="15620" max="15620" width="25.42578125" style="241" customWidth="1"/>
    <col min="15621" max="15621" width="14.5703125" style="241" customWidth="1"/>
    <col min="15622" max="15622" width="11.7109375" style="241" customWidth="1"/>
    <col min="15623" max="15623" width="12.5703125" style="241" customWidth="1"/>
    <col min="15624" max="15624" width="13" style="241" customWidth="1"/>
    <col min="15625" max="15868" width="8.85546875" style="241"/>
    <col min="15869" max="15869" width="17.42578125" style="241" customWidth="1"/>
    <col min="15870" max="15871" width="20.85546875" style="241" customWidth="1"/>
    <col min="15872" max="15872" width="26" style="241" bestFit="1" customWidth="1"/>
    <col min="15873" max="15873" width="21.28515625" style="241" bestFit="1" customWidth="1"/>
    <col min="15874" max="15874" width="20.140625" style="241" bestFit="1" customWidth="1"/>
    <col min="15875" max="15875" width="22.42578125" style="241" bestFit="1" customWidth="1"/>
    <col min="15876" max="15876" width="25.42578125" style="241" customWidth="1"/>
    <col min="15877" max="15877" width="14.5703125" style="241" customWidth="1"/>
    <col min="15878" max="15878" width="11.7109375" style="241" customWidth="1"/>
    <col min="15879" max="15879" width="12.5703125" style="241" customWidth="1"/>
    <col min="15880" max="15880" width="13" style="241" customWidth="1"/>
    <col min="15881" max="16124" width="8.85546875" style="241"/>
    <col min="16125" max="16125" width="17.42578125" style="241" customWidth="1"/>
    <col min="16126" max="16127" width="20.85546875" style="241" customWidth="1"/>
    <col min="16128" max="16128" width="26" style="241" bestFit="1" customWidth="1"/>
    <col min="16129" max="16129" width="21.28515625" style="241" bestFit="1" customWidth="1"/>
    <col min="16130" max="16130" width="20.140625" style="241" bestFit="1" customWidth="1"/>
    <col min="16131" max="16131" width="22.42578125" style="241" bestFit="1" customWidth="1"/>
    <col min="16132" max="16132" width="25.42578125" style="241" customWidth="1"/>
    <col min="16133" max="16133" width="14.5703125" style="241" customWidth="1"/>
    <col min="16134" max="16134" width="11.7109375" style="241" customWidth="1"/>
    <col min="16135" max="16135" width="12.5703125" style="241" customWidth="1"/>
    <col min="16136" max="16136" width="13" style="241" customWidth="1"/>
    <col min="16137" max="16384" width="8.85546875" style="241"/>
  </cols>
  <sheetData>
    <row r="1" spans="1:10" ht="15" customHeight="1" x14ac:dyDescent="0.2">
      <c r="A1" s="860" t="str">
        <f>Instructions!G2</f>
        <v>p-sbap5-30 • 7/31/25</v>
      </c>
      <c r="B1" s="860"/>
      <c r="C1" s="860"/>
      <c r="D1" s="860"/>
      <c r="E1" s="860"/>
      <c r="F1" s="860"/>
      <c r="G1" s="860"/>
      <c r="H1" s="860"/>
      <c r="I1" s="860"/>
    </row>
    <row r="2" spans="1:10" ht="19.5" thickBot="1" x14ac:dyDescent="0.35">
      <c r="A2" s="533" t="s">
        <v>391</v>
      </c>
      <c r="B2" s="533"/>
      <c r="C2" s="533"/>
      <c r="D2" s="533"/>
      <c r="E2" s="533"/>
      <c r="F2" s="533"/>
      <c r="G2" s="533"/>
      <c r="H2" s="533"/>
      <c r="I2" s="468"/>
    </row>
    <row r="3" spans="1:10" s="243" customFormat="1" ht="60" customHeight="1" x14ac:dyDescent="0.2">
      <c r="A3" s="289"/>
      <c r="B3" s="469" t="s">
        <v>632</v>
      </c>
      <c r="C3" s="469" t="s">
        <v>392</v>
      </c>
      <c r="D3" s="469" t="s">
        <v>393</v>
      </c>
      <c r="E3" s="469" t="s">
        <v>394</v>
      </c>
      <c r="F3" s="469" t="s">
        <v>156</v>
      </c>
      <c r="G3" s="470" t="s">
        <v>157</v>
      </c>
      <c r="H3" s="469" t="s">
        <v>158</v>
      </c>
      <c r="I3" s="469" t="s">
        <v>633</v>
      </c>
      <c r="J3" s="471"/>
    </row>
    <row r="4" spans="1:10" s="247" customFormat="1" ht="15" x14ac:dyDescent="0.25">
      <c r="A4" s="244" t="s">
        <v>159</v>
      </c>
      <c r="B4" s="245" t="s">
        <v>160</v>
      </c>
      <c r="C4" s="245" t="s">
        <v>161</v>
      </c>
      <c r="D4" s="245" t="s">
        <v>162</v>
      </c>
      <c r="E4" s="245" t="s">
        <v>160</v>
      </c>
      <c r="F4" s="245" t="s">
        <v>163</v>
      </c>
      <c r="G4" s="246" t="s">
        <v>164</v>
      </c>
      <c r="H4" s="472" t="s">
        <v>164</v>
      </c>
      <c r="I4" s="473" t="s">
        <v>634</v>
      </c>
      <c r="J4" s="474"/>
    </row>
    <row r="5" spans="1:10" s="243" customFormat="1" ht="12" x14ac:dyDescent="0.2">
      <c r="A5" s="248" t="s">
        <v>45</v>
      </c>
      <c r="B5" s="249">
        <v>0.31</v>
      </c>
      <c r="C5" s="249">
        <v>0.1</v>
      </c>
      <c r="D5" s="249">
        <v>6.6E-3</v>
      </c>
      <c r="E5" s="249">
        <v>0.1</v>
      </c>
      <c r="F5" s="249">
        <f>0.0095+0.00991</f>
        <v>1.941E-2</v>
      </c>
      <c r="G5" s="249">
        <f>0.0000771+0.00991</f>
        <v>9.9871000000000005E-3</v>
      </c>
      <c r="H5" s="475">
        <f>0.0384+0.00991</f>
        <v>4.8309999999999999E-2</v>
      </c>
      <c r="I5" s="476">
        <f>I6</f>
        <v>5.434782608695652E-2</v>
      </c>
      <c r="J5" s="477"/>
    </row>
    <row r="6" spans="1:10" s="243" customFormat="1" ht="15" x14ac:dyDescent="0.25">
      <c r="A6" s="251" t="s">
        <v>46</v>
      </c>
      <c r="B6" s="250">
        <v>0.31</v>
      </c>
      <c r="C6" s="250">
        <f>0.0496+0.0077</f>
        <v>5.7299999999999997E-2</v>
      </c>
      <c r="D6" s="252">
        <f>0.0019+0.0047</f>
        <v>6.6E-3</v>
      </c>
      <c r="E6" s="250">
        <v>0.1</v>
      </c>
      <c r="F6" s="402">
        <f>0.0095+0.00991</f>
        <v>1.941E-2</v>
      </c>
      <c r="G6" s="250">
        <f>G5</f>
        <v>9.9871000000000005E-3</v>
      </c>
      <c r="H6" s="420">
        <f>H5</f>
        <v>4.8309999999999999E-2</v>
      </c>
      <c r="I6" s="478">
        <f>5/(H55/(10^6)*1000)</f>
        <v>5.434782608695652E-2</v>
      </c>
      <c r="J6" s="479"/>
    </row>
    <row r="7" spans="1:10" s="243" customFormat="1" ht="12" x14ac:dyDescent="0.2">
      <c r="A7" s="251" t="s">
        <v>84</v>
      </c>
      <c r="B7" s="250">
        <v>0.31</v>
      </c>
      <c r="C7" s="250">
        <f>0.0479+0.0077</f>
        <v>5.5599999999999997E-2</v>
      </c>
      <c r="D7" s="252">
        <f>D6</f>
        <v>6.6E-3</v>
      </c>
      <c r="E7" s="250">
        <v>0.1</v>
      </c>
      <c r="F7" s="250">
        <f>F6</f>
        <v>1.941E-2</v>
      </c>
      <c r="G7" s="250">
        <f>G5</f>
        <v>9.9871000000000005E-3</v>
      </c>
      <c r="H7" s="420">
        <f>H6</f>
        <v>4.8309999999999999E-2</v>
      </c>
      <c r="I7" s="478">
        <f>I6</f>
        <v>5.434782608695652E-2</v>
      </c>
      <c r="J7" s="477"/>
    </row>
    <row r="8" spans="1:10" s="243" customFormat="1" ht="15" x14ac:dyDescent="0.25">
      <c r="A8" s="251" t="s">
        <v>47</v>
      </c>
      <c r="B8" s="250">
        <v>1.01</v>
      </c>
      <c r="C8" s="250">
        <v>1.01</v>
      </c>
      <c r="D8" s="250">
        <v>0.94</v>
      </c>
      <c r="E8" s="250">
        <v>8.4000000000000005E-2</v>
      </c>
      <c r="F8" s="250">
        <v>5.8799999999999998E-4</v>
      </c>
      <c r="G8" s="250">
        <v>5.8799999999999998E-4</v>
      </c>
      <c r="H8" s="420">
        <v>5.8799999999999998E-4</v>
      </c>
      <c r="I8" s="480">
        <f>(0.1)/(H55/(10^6)*1000)</f>
        <v>1.0869565217391304E-3</v>
      </c>
      <c r="J8" s="479"/>
    </row>
    <row r="9" spans="1:10" s="243" customFormat="1" ht="15" x14ac:dyDescent="0.25">
      <c r="A9" s="251" t="s">
        <v>48</v>
      </c>
      <c r="B9" s="250">
        <v>4.41</v>
      </c>
      <c r="C9" s="250">
        <v>3.2</v>
      </c>
      <c r="D9" s="250">
        <v>0.32</v>
      </c>
      <c r="E9" s="250">
        <v>1.63</v>
      </c>
      <c r="F9" s="250">
        <v>2.21</v>
      </c>
      <c r="G9" s="250">
        <v>4.08</v>
      </c>
      <c r="H9" s="420">
        <v>3.17</v>
      </c>
      <c r="I9" s="481">
        <f>139/(H55/(10^6)*1000)</f>
        <v>1.5108695652173914</v>
      </c>
      <c r="J9" s="479"/>
    </row>
    <row r="10" spans="1:10" s="243" customFormat="1" ht="15" x14ac:dyDescent="0.25">
      <c r="A10" s="251" t="s">
        <v>49</v>
      </c>
      <c r="B10" s="250">
        <f>0.35+0+0.01+0</f>
        <v>0.36</v>
      </c>
      <c r="C10" s="250">
        <v>0.09</v>
      </c>
      <c r="D10" s="250">
        <v>2.0999999999999999E-3</v>
      </c>
      <c r="E10" s="250">
        <f>2.1+0.09+0.69+0.15</f>
        <v>3.03</v>
      </c>
      <c r="F10" s="250">
        <v>2.9600000000000001E-2</v>
      </c>
      <c r="G10" s="250">
        <v>0.11799999999999999</v>
      </c>
      <c r="H10" s="420">
        <v>0.12</v>
      </c>
      <c r="I10" s="482">
        <f>83/(H55/(10^6)*1000)</f>
        <v>0.90217391304347827</v>
      </c>
      <c r="J10" s="479"/>
    </row>
    <row r="11" spans="1:10" s="243" customFormat="1" ht="15" x14ac:dyDescent="0.25">
      <c r="A11" s="251" t="s">
        <v>50</v>
      </c>
      <c r="B11" s="250">
        <v>0.95</v>
      </c>
      <c r="C11" s="250">
        <v>0.85</v>
      </c>
      <c r="D11" s="250">
        <v>8.2000000000000003E-2</v>
      </c>
      <c r="E11" s="250">
        <v>0.99</v>
      </c>
      <c r="F11" s="250">
        <v>3.72</v>
      </c>
      <c r="G11" s="250">
        <v>0.317</v>
      </c>
      <c r="H11" s="420">
        <v>0.38600000000000001</v>
      </c>
      <c r="I11" s="481">
        <f>129/(H55/(10^6)*1000)</f>
        <v>1.4021739130434783</v>
      </c>
      <c r="J11" s="479"/>
    </row>
    <row r="12" spans="1:10" s="243" customFormat="1" ht="12.75" customHeight="1" x14ac:dyDescent="0.2">
      <c r="A12" s="253" t="s">
        <v>165</v>
      </c>
      <c r="B12" s="254"/>
      <c r="C12" s="254"/>
      <c r="D12" s="254"/>
      <c r="E12" s="254"/>
      <c r="F12" s="254"/>
      <c r="G12" s="254"/>
      <c r="H12" s="483" t="s">
        <v>166</v>
      </c>
      <c r="I12" s="255" t="s">
        <v>166</v>
      </c>
      <c r="J12" s="256"/>
    </row>
    <row r="13" spans="1:10" s="243" customFormat="1" ht="13.5" x14ac:dyDescent="0.25">
      <c r="A13" s="248" t="s">
        <v>395</v>
      </c>
      <c r="B13" s="257">
        <f>B53</f>
        <v>163.05402211679217</v>
      </c>
      <c r="C13" s="257">
        <f>B53</f>
        <v>163.05402211679217</v>
      </c>
      <c r="D13" s="257">
        <f>B52</f>
        <v>116.97737173495123</v>
      </c>
      <c r="E13" s="257">
        <f>B54</f>
        <v>154.80872678530486</v>
      </c>
      <c r="F13" s="257">
        <f>B52</f>
        <v>116.97737173495123</v>
      </c>
      <c r="G13" s="257">
        <f>B52</f>
        <v>116.97737173495123</v>
      </c>
      <c r="H13" s="484">
        <f>G13</f>
        <v>116.97737173495123</v>
      </c>
      <c r="I13" s="485">
        <f>B55</f>
        <v>136.0473729695409</v>
      </c>
      <c r="J13" s="258"/>
    </row>
    <row r="14" spans="1:10" s="243" customFormat="1" ht="13.5" x14ac:dyDescent="0.25">
      <c r="A14" s="251" t="s">
        <v>396</v>
      </c>
      <c r="B14" s="259">
        <f>C53</f>
        <v>6.6138732605513324E-3</v>
      </c>
      <c r="C14" s="259">
        <f>C53</f>
        <v>6.6138732605513324E-3</v>
      </c>
      <c r="D14" s="259">
        <f>C52</f>
        <v>2.2046244201837776E-3</v>
      </c>
      <c r="E14" s="259">
        <f>C54</f>
        <v>6.6138732605513324E-3</v>
      </c>
      <c r="F14" s="259">
        <f>C52</f>
        <v>2.2046244201837776E-3</v>
      </c>
      <c r="G14" s="259">
        <f>C52</f>
        <v>2.2046244201837776E-3</v>
      </c>
      <c r="H14" s="486">
        <f t="shared" ref="H14:H15" si="0">G14</f>
        <v>2.2046244201837776E-3</v>
      </c>
      <c r="I14" s="487">
        <f>C55</f>
        <v>6.6138732605513324E-3</v>
      </c>
      <c r="J14" s="260"/>
    </row>
    <row r="15" spans="1:10" s="243" customFormat="1" ht="13.5" x14ac:dyDescent="0.25">
      <c r="A15" s="261" t="s">
        <v>397</v>
      </c>
      <c r="B15" s="262">
        <f>D53</f>
        <v>1.3227746521102665E-3</v>
      </c>
      <c r="C15" s="262">
        <f>D53</f>
        <v>1.3227746521102665E-3</v>
      </c>
      <c r="D15" s="262">
        <f>D52</f>
        <v>2.2046244201837776E-4</v>
      </c>
      <c r="E15" s="262">
        <f>D54</f>
        <v>1.3227746521102665E-3</v>
      </c>
      <c r="F15" s="263">
        <f>D52</f>
        <v>2.2046244201837776E-4</v>
      </c>
      <c r="G15" s="263">
        <f>D52</f>
        <v>2.2046244201837776E-4</v>
      </c>
      <c r="H15" s="263">
        <f t="shared" si="0"/>
        <v>2.2046244201837776E-4</v>
      </c>
      <c r="I15" s="264">
        <f>D55</f>
        <v>1.3227746521102665E-3</v>
      </c>
      <c r="J15" s="260"/>
    </row>
    <row r="16" spans="1:10" s="243" customFormat="1" ht="12.75" customHeight="1" x14ac:dyDescent="0.2">
      <c r="A16" s="488" t="s">
        <v>159</v>
      </c>
      <c r="B16" s="472" t="s">
        <v>160</v>
      </c>
      <c r="C16" s="472" t="s">
        <v>161</v>
      </c>
      <c r="D16" s="472" t="s">
        <v>162</v>
      </c>
      <c r="E16" s="489" t="s">
        <v>167</v>
      </c>
      <c r="F16" s="472" t="s">
        <v>163</v>
      </c>
      <c r="G16" s="472" t="s">
        <v>164</v>
      </c>
      <c r="H16" s="472" t="s">
        <v>164</v>
      </c>
      <c r="I16" s="490" t="s">
        <v>635</v>
      </c>
      <c r="J16" s="265"/>
    </row>
    <row r="17" spans="1:10" s="243" customFormat="1" ht="12" x14ac:dyDescent="0.2">
      <c r="A17" s="266" t="s">
        <v>136</v>
      </c>
      <c r="B17" s="267"/>
      <c r="C17" s="267"/>
      <c r="D17" s="267"/>
      <c r="E17" s="267"/>
      <c r="F17" s="268">
        <v>2.5299999999999998E-5</v>
      </c>
      <c r="G17" s="268">
        <v>4.0000000000000003E-5</v>
      </c>
      <c r="H17" s="268">
        <v>6.6299999999999999E-5</v>
      </c>
      <c r="I17" s="491">
        <f>AVERAGE(F17:H17)*$G$52/$G$55</f>
        <v>1.7783783783783785E-5</v>
      </c>
      <c r="J17" s="265"/>
    </row>
    <row r="18" spans="1:10" s="243" customFormat="1" ht="12" x14ac:dyDescent="0.2">
      <c r="A18" s="269" t="s">
        <v>137</v>
      </c>
      <c r="B18" s="270"/>
      <c r="C18" s="270"/>
      <c r="D18" s="270"/>
      <c r="E18" s="270"/>
      <c r="F18" s="271">
        <v>1.5299999999999999E-5</v>
      </c>
      <c r="G18" s="271">
        <v>3.18E-5</v>
      </c>
      <c r="H18" s="271">
        <v>5.27E-5</v>
      </c>
      <c r="I18" s="492">
        <f t="shared" ref="I18:I41" si="1">AVERAGE(F18:H18)*$G$52/$G$55</f>
        <v>1.3486486486486486E-5</v>
      </c>
      <c r="J18" s="265"/>
    </row>
    <row r="19" spans="1:10" s="243" customFormat="1" ht="12" x14ac:dyDescent="0.2">
      <c r="A19" s="269" t="s">
        <v>138</v>
      </c>
      <c r="B19" s="271">
        <v>3.9100000000000002E-5</v>
      </c>
      <c r="C19" s="271"/>
      <c r="D19" s="271">
        <v>4.3000000000000001E-7</v>
      </c>
      <c r="E19" s="271">
        <v>3.9100000000000002E-5</v>
      </c>
      <c r="F19" s="271">
        <v>6.6299999999999996E-4</v>
      </c>
      <c r="G19" s="271">
        <v>2.6699999999999998E-4</v>
      </c>
      <c r="H19" s="271">
        <v>8.1999999999999998E-4</v>
      </c>
      <c r="I19" s="493">
        <f t="shared" si="1"/>
        <v>2.3648648648648648E-4</v>
      </c>
      <c r="J19" s="265"/>
    </row>
    <row r="20" spans="1:10" s="243" customFormat="1" ht="12.75" customHeight="1" x14ac:dyDescent="0.2">
      <c r="A20" s="269" t="s">
        <v>139</v>
      </c>
      <c r="B20" s="270"/>
      <c r="C20" s="270"/>
      <c r="D20" s="270"/>
      <c r="E20" s="270"/>
      <c r="F20" s="271">
        <v>1.27E-5</v>
      </c>
      <c r="G20" s="271">
        <v>2.6400000000000001E-5</v>
      </c>
      <c r="H20" s="271">
        <v>4.3800000000000001E-5</v>
      </c>
      <c r="I20" s="492">
        <f t="shared" si="1"/>
        <v>1.1202702702702703E-5</v>
      </c>
      <c r="J20" s="265"/>
    </row>
    <row r="21" spans="1:10" s="243" customFormat="1" ht="12" x14ac:dyDescent="0.2">
      <c r="A21" s="272" t="s">
        <v>140</v>
      </c>
      <c r="B21" s="273">
        <v>7.67E-4</v>
      </c>
      <c r="C21" s="273">
        <v>2.5199999999999999E-5</v>
      </c>
      <c r="D21" s="273">
        <v>4.0000000000000003E-5</v>
      </c>
      <c r="E21" s="273">
        <f>B21</f>
        <v>7.67E-4</v>
      </c>
      <c r="F21" s="273">
        <v>2.7899999999999999E-3</v>
      </c>
      <c r="G21" s="273">
        <v>8.3599999999999994E-3</v>
      </c>
      <c r="H21" s="273">
        <v>7.7600000000000004E-3</v>
      </c>
      <c r="I21" s="494">
        <f t="shared" si="1"/>
        <v>2.5554054054054056E-3</v>
      </c>
      <c r="J21" s="265"/>
    </row>
    <row r="22" spans="1:10" s="243" customFormat="1" ht="12" x14ac:dyDescent="0.2">
      <c r="A22" s="274" t="s">
        <v>141</v>
      </c>
      <c r="B22" s="275">
        <v>9.2499999999999999E-5</v>
      </c>
      <c r="C22" s="275">
        <v>7.8800000000000008E-6</v>
      </c>
      <c r="D22" s="275">
        <v>6.3999999999999997E-6</v>
      </c>
      <c r="E22" s="275">
        <f>B22</f>
        <v>9.2499999999999999E-5</v>
      </c>
      <c r="F22" s="275">
        <v>2.63E-3</v>
      </c>
      <c r="G22" s="275">
        <v>5.1399999999999996E-3</v>
      </c>
      <c r="H22" s="275">
        <v>7.7799999999999996E-3</v>
      </c>
      <c r="I22" s="495">
        <f t="shared" si="1"/>
        <v>2.1013513513513508E-3</v>
      </c>
      <c r="J22" s="265"/>
    </row>
    <row r="23" spans="1:10" s="243" customFormat="1" ht="12" x14ac:dyDescent="0.2">
      <c r="A23" s="276" t="s">
        <v>52</v>
      </c>
      <c r="B23" s="270">
        <v>9.3300000000000002E-4</v>
      </c>
      <c r="C23" s="270">
        <v>7.76E-4</v>
      </c>
      <c r="D23" s="270">
        <v>1.2E-5</v>
      </c>
      <c r="E23" s="270">
        <f>B23</f>
        <v>9.3300000000000002E-4</v>
      </c>
      <c r="F23" s="270">
        <v>1.58E-3</v>
      </c>
      <c r="G23" s="270">
        <v>4.4000000000000002E-4</v>
      </c>
      <c r="H23" s="496">
        <v>1.9400000000000001E-3</v>
      </c>
      <c r="I23" s="497">
        <f t="shared" si="1"/>
        <v>5.3513513513513513E-4</v>
      </c>
      <c r="J23" s="265"/>
    </row>
    <row r="24" spans="1:10" s="243" customFormat="1" ht="15" customHeight="1" x14ac:dyDescent="0.2">
      <c r="A24" s="269" t="s">
        <v>142</v>
      </c>
      <c r="B24" s="270"/>
      <c r="C24" s="270"/>
      <c r="D24" s="270"/>
      <c r="E24" s="270"/>
      <c r="F24" s="271"/>
      <c r="G24" s="271">
        <v>2.12E-4</v>
      </c>
      <c r="H24" s="271">
        <v>3.9500000000000003E-6</v>
      </c>
      <c r="I24" s="492">
        <f t="shared" si="1"/>
        <v>4.3773648648648644E-5</v>
      </c>
      <c r="J24" s="265"/>
    </row>
    <row r="25" spans="1:10" s="243" customFormat="1" ht="12" x14ac:dyDescent="0.2">
      <c r="A25" s="269" t="s">
        <v>143</v>
      </c>
      <c r="B25" s="270"/>
      <c r="C25" s="270"/>
      <c r="D25" s="270"/>
      <c r="E25" s="270"/>
      <c r="F25" s="271">
        <v>1.77E-5</v>
      </c>
      <c r="G25" s="271">
        <v>3.6699999999999998E-5</v>
      </c>
      <c r="H25" s="271">
        <v>6.0699999999999998E-5</v>
      </c>
      <c r="I25" s="492">
        <f t="shared" si="1"/>
        <v>1.5554054054054056E-5</v>
      </c>
      <c r="J25" s="265"/>
    </row>
    <row r="26" spans="1:10" s="243" customFormat="1" ht="12" x14ac:dyDescent="0.2">
      <c r="A26" s="277" t="s">
        <v>144</v>
      </c>
      <c r="B26" s="273"/>
      <c r="C26" s="273"/>
      <c r="D26" s="273"/>
      <c r="E26" s="273"/>
      <c r="F26" s="278">
        <v>1.29E-5</v>
      </c>
      <c r="G26" s="278">
        <v>3.04E-5</v>
      </c>
      <c r="H26" s="278">
        <v>4.4400000000000002E-5</v>
      </c>
      <c r="I26" s="498">
        <f t="shared" si="1"/>
        <v>1.1851351351351351E-5</v>
      </c>
      <c r="J26" s="265"/>
    </row>
    <row r="27" spans="1:10" s="243" customFormat="1" ht="15" customHeight="1" x14ac:dyDescent="0.2">
      <c r="A27" s="274" t="s">
        <v>145</v>
      </c>
      <c r="B27" s="275"/>
      <c r="C27" s="275"/>
      <c r="D27" s="275"/>
      <c r="E27" s="275"/>
      <c r="F27" s="275">
        <v>1.3699999999999999E-5</v>
      </c>
      <c r="G27" s="275">
        <v>2.8500000000000002E-5</v>
      </c>
      <c r="H27" s="275">
        <v>4.71E-5</v>
      </c>
      <c r="I27" s="499">
        <f t="shared" si="1"/>
        <v>1.2067567567567568E-5</v>
      </c>
      <c r="J27" s="265"/>
    </row>
    <row r="28" spans="1:10" s="243" customFormat="1" ht="15" customHeight="1" x14ac:dyDescent="0.2">
      <c r="A28" s="276" t="s">
        <v>146</v>
      </c>
      <c r="B28" s="270"/>
      <c r="C28" s="270"/>
      <c r="D28" s="270">
        <v>3.1999999999999999E-5</v>
      </c>
      <c r="E28" s="270"/>
      <c r="F28" s="270">
        <v>2.48E-5</v>
      </c>
      <c r="G28" s="270">
        <v>3.9700000000000003E-5</v>
      </c>
      <c r="H28" s="496">
        <v>1.08E-4</v>
      </c>
      <c r="I28" s="500">
        <f t="shared" si="1"/>
        <v>2.3310810810810808E-5</v>
      </c>
      <c r="J28" s="265"/>
    </row>
    <row r="29" spans="1:10" s="243" customFormat="1" ht="12" x14ac:dyDescent="0.2">
      <c r="A29" s="269" t="s">
        <v>147</v>
      </c>
      <c r="B29" s="270"/>
      <c r="C29" s="270"/>
      <c r="D29" s="270"/>
      <c r="E29" s="270"/>
      <c r="F29" s="271">
        <v>2.1299999999999999E-5</v>
      </c>
      <c r="G29" s="271">
        <v>4.4299999999999999E-5</v>
      </c>
      <c r="H29" s="271">
        <v>7.3399999999999995E-5</v>
      </c>
      <c r="I29" s="492">
        <f t="shared" si="1"/>
        <v>1.8783783783783782E-5</v>
      </c>
      <c r="J29" s="265"/>
    </row>
    <row r="30" spans="1:10" s="243" customFormat="1" ht="12" x14ac:dyDescent="0.2">
      <c r="A30" s="269" t="s">
        <v>53</v>
      </c>
      <c r="B30" s="270">
        <v>1.1800000000000001E-3</v>
      </c>
      <c r="C30" s="270">
        <v>7.8899999999999993E-5</v>
      </c>
      <c r="D30" s="270">
        <v>7.1000000000000002E-4</v>
      </c>
      <c r="E30" s="270">
        <f>B30</f>
        <v>1.1800000000000001E-3</v>
      </c>
      <c r="F30" s="271">
        <v>2.0500000000000001E-2</v>
      </c>
      <c r="G30" s="271">
        <v>5.28E-2</v>
      </c>
      <c r="H30" s="271">
        <v>5.5199999999999999E-2</v>
      </c>
      <c r="I30" s="501">
        <f t="shared" si="1"/>
        <v>1.7364864864864864E-2</v>
      </c>
      <c r="J30" s="265"/>
    </row>
    <row r="31" spans="1:10" s="243" customFormat="1" ht="12" x14ac:dyDescent="0.2">
      <c r="A31" s="277" t="s">
        <v>54</v>
      </c>
      <c r="B31" s="273"/>
      <c r="C31" s="273"/>
      <c r="D31" s="273"/>
      <c r="E31" s="273"/>
      <c r="F31" s="278"/>
      <c r="G31" s="278">
        <v>1.1100000000000001E-3</v>
      </c>
      <c r="H31" s="278">
        <v>4.4499999999999997E-4</v>
      </c>
      <c r="I31" s="502">
        <f t="shared" si="1"/>
        <v>3.1520270270270272E-4</v>
      </c>
      <c r="J31" s="265"/>
    </row>
    <row r="32" spans="1:10" s="243" customFormat="1" ht="12" x14ac:dyDescent="0.2">
      <c r="A32" s="274" t="s">
        <v>148</v>
      </c>
      <c r="B32" s="275"/>
      <c r="C32" s="275"/>
      <c r="D32" s="275"/>
      <c r="E32" s="275"/>
      <c r="F32" s="275">
        <v>3.0599999999999998E-3</v>
      </c>
      <c r="G32" s="275">
        <v>2.5000000000000001E-3</v>
      </c>
      <c r="H32" s="275">
        <v>2.48E-3</v>
      </c>
      <c r="I32" s="503">
        <f t="shared" si="1"/>
        <v>1.0864864864864865E-3</v>
      </c>
      <c r="J32" s="265"/>
    </row>
    <row r="33" spans="1:10" s="243" customFormat="1" ht="12" x14ac:dyDescent="0.2">
      <c r="A33" s="276" t="s">
        <v>149</v>
      </c>
      <c r="B33" s="270"/>
      <c r="C33" s="270"/>
      <c r="D33" s="270"/>
      <c r="E33" s="270"/>
      <c r="F33" s="270">
        <v>4.1199999999999999E-5</v>
      </c>
      <c r="G33" s="270">
        <v>2.0000000000000002E-5</v>
      </c>
      <c r="H33" s="496">
        <v>1.47E-4</v>
      </c>
      <c r="I33" s="500">
        <f t="shared" si="1"/>
        <v>2.8135135135135132E-5</v>
      </c>
      <c r="J33" s="265"/>
    </row>
    <row r="34" spans="1:10" s="243" customFormat="1" ht="12" x14ac:dyDescent="0.2">
      <c r="A34" s="269" t="s">
        <v>55</v>
      </c>
      <c r="B34" s="270">
        <v>8.4800000000000001E-5</v>
      </c>
      <c r="C34" s="270">
        <v>1.2999999999999999E-4</v>
      </c>
      <c r="D34" s="270">
        <v>1.3E-6</v>
      </c>
      <c r="E34" s="270">
        <f>B34</f>
        <v>8.4800000000000001E-5</v>
      </c>
      <c r="F34" s="271">
        <v>9.7100000000000002E-5</v>
      </c>
      <c r="G34" s="271">
        <v>7.4400000000000006E-5</v>
      </c>
      <c r="H34" s="271">
        <v>9.6299999999999996E-5</v>
      </c>
      <c r="I34" s="492">
        <f t="shared" si="1"/>
        <v>3.6189189189189185E-5</v>
      </c>
      <c r="J34" s="265"/>
    </row>
    <row r="35" spans="1:10" s="243" customFormat="1" ht="12" x14ac:dyDescent="0.2">
      <c r="A35" s="269" t="s">
        <v>150</v>
      </c>
      <c r="B35" s="270">
        <v>1.6799999999999999E-4</v>
      </c>
      <c r="C35" s="270">
        <v>2.12E-4</v>
      </c>
      <c r="D35" s="270">
        <v>2.2000000000000001E-6</v>
      </c>
      <c r="E35" s="270">
        <v>1.6799999999999999E-4</v>
      </c>
      <c r="F35" s="271">
        <v>1.4100000000000001E-4</v>
      </c>
      <c r="G35" s="271">
        <v>2.69E-5</v>
      </c>
      <c r="H35" s="271">
        <v>1.34E-4</v>
      </c>
      <c r="I35" s="492">
        <f t="shared" si="1"/>
        <v>4.0797297297297304E-5</v>
      </c>
      <c r="J35" s="265"/>
    </row>
    <row r="36" spans="1:10" s="243" customFormat="1" ht="12" x14ac:dyDescent="0.2">
      <c r="A36" s="277" t="s">
        <v>151</v>
      </c>
      <c r="B36" s="273"/>
      <c r="C36" s="273"/>
      <c r="D36" s="273"/>
      <c r="E36" s="273"/>
      <c r="F36" s="278"/>
      <c r="G36" s="278">
        <v>2.4000000000000001E-5</v>
      </c>
      <c r="H36" s="278">
        <v>4.21E-5</v>
      </c>
      <c r="I36" s="498">
        <f t="shared" si="1"/>
        <v>1.3398648648648651E-5</v>
      </c>
      <c r="J36" s="265"/>
    </row>
    <row r="37" spans="1:10" s="243" customFormat="1" ht="12" x14ac:dyDescent="0.2">
      <c r="A37" s="269" t="s">
        <v>152</v>
      </c>
      <c r="B37" s="270"/>
      <c r="C37" s="270"/>
      <c r="D37" s="270"/>
      <c r="E37" s="270"/>
      <c r="F37" s="271">
        <v>1.19E-5</v>
      </c>
      <c r="G37" s="271">
        <v>2.3600000000000001E-5</v>
      </c>
      <c r="H37" s="271">
        <v>5.4799999999999997E-5</v>
      </c>
      <c r="I37" s="492">
        <f t="shared" si="1"/>
        <v>1.2202702702702704E-5</v>
      </c>
      <c r="J37" s="265"/>
    </row>
    <row r="38" spans="1:10" s="243" customFormat="1" ht="12" x14ac:dyDescent="0.2">
      <c r="A38" s="269" t="s">
        <v>153</v>
      </c>
      <c r="B38" s="281"/>
      <c r="C38" s="281"/>
      <c r="D38" s="281"/>
      <c r="E38" s="281"/>
      <c r="F38" s="281"/>
      <c r="G38" s="271">
        <v>2.48E-6</v>
      </c>
      <c r="H38" s="281"/>
      <c r="I38" s="504">
        <f t="shared" si="1"/>
        <v>1.0054054054054054E-6</v>
      </c>
      <c r="J38" s="265"/>
    </row>
    <row r="39" spans="1:10" s="243" customFormat="1" ht="12" x14ac:dyDescent="0.2">
      <c r="A39" s="276" t="s">
        <v>56</v>
      </c>
      <c r="B39" s="270">
        <v>4.0900000000000002E-4</v>
      </c>
      <c r="C39" s="270">
        <v>2.81E-4</v>
      </c>
      <c r="D39" s="270">
        <v>1.2999999999999999E-4</v>
      </c>
      <c r="E39" s="270">
        <f>B39</f>
        <v>4.0900000000000002E-4</v>
      </c>
      <c r="F39" s="270">
        <v>5.5800000000000001E-4</v>
      </c>
      <c r="G39" s="270">
        <v>4.08E-4</v>
      </c>
      <c r="H39" s="496">
        <v>9.6299999999999999E-4</v>
      </c>
      <c r="I39" s="497">
        <f t="shared" si="1"/>
        <v>2.6067567567567565E-4</v>
      </c>
      <c r="J39" s="265"/>
    </row>
    <row r="40" spans="1:10" s="243" customFormat="1" ht="12" x14ac:dyDescent="0.2">
      <c r="A40" s="269" t="s">
        <v>154</v>
      </c>
      <c r="B40" s="270"/>
      <c r="C40" s="270"/>
      <c r="D40" s="270"/>
      <c r="E40" s="270"/>
      <c r="F40" s="271">
        <v>7.1799999999999999E-6</v>
      </c>
      <c r="G40" s="271">
        <v>1.49E-5</v>
      </c>
      <c r="H40" s="271">
        <v>2.4700000000000001E-5</v>
      </c>
      <c r="I40" s="505">
        <f t="shared" si="1"/>
        <v>6.3216216216216207E-6</v>
      </c>
      <c r="J40" s="265"/>
    </row>
    <row r="41" spans="1:10" s="243" customFormat="1" ht="12" x14ac:dyDescent="0.2">
      <c r="A41" s="282" t="s">
        <v>155</v>
      </c>
      <c r="B41" s="283">
        <v>2.8499999999999999E-4</v>
      </c>
      <c r="C41" s="283">
        <v>1.93E-4</v>
      </c>
      <c r="D41" s="283">
        <v>6.3999999999999997E-5</v>
      </c>
      <c r="E41" s="283">
        <f>B41</f>
        <v>2.8499999999999999E-4</v>
      </c>
      <c r="F41" s="283">
        <v>1.95E-4</v>
      </c>
      <c r="G41" s="283">
        <v>1.84E-4</v>
      </c>
      <c r="H41" s="283">
        <v>2.6800000000000001E-4</v>
      </c>
      <c r="I41" s="506">
        <f t="shared" si="1"/>
        <v>8.7432432432432431E-5</v>
      </c>
      <c r="J41" s="265"/>
    </row>
    <row r="42" spans="1:10" s="243" customFormat="1" ht="13.5" x14ac:dyDescent="0.2">
      <c r="A42" s="284">
        <v>1</v>
      </c>
      <c r="B42" s="243" t="s">
        <v>168</v>
      </c>
    </row>
    <row r="43" spans="1:10" s="243" customFormat="1" ht="13.5" x14ac:dyDescent="0.2">
      <c r="A43" s="284">
        <v>2</v>
      </c>
      <c r="B43" s="243" t="s">
        <v>169</v>
      </c>
    </row>
    <row r="44" spans="1:10" s="243" customFormat="1" ht="13.5" x14ac:dyDescent="0.2">
      <c r="A44" s="284">
        <v>3</v>
      </c>
      <c r="B44" s="243" t="s">
        <v>636</v>
      </c>
    </row>
    <row r="45" spans="1:10" s="243" customFormat="1" ht="13.5" x14ac:dyDescent="0.2">
      <c r="A45" s="284">
        <v>4</v>
      </c>
      <c r="B45" s="243" t="s">
        <v>637</v>
      </c>
    </row>
    <row r="46" spans="1:10" s="243" customFormat="1" ht="13.5" x14ac:dyDescent="0.2">
      <c r="A46" s="284"/>
      <c r="B46" s="243" t="s">
        <v>638</v>
      </c>
      <c r="C46" s="507" t="s">
        <v>639</v>
      </c>
    </row>
    <row r="47" spans="1:10" s="243" customFormat="1" ht="14.25" x14ac:dyDescent="0.25">
      <c r="A47" s="284">
        <v>5</v>
      </c>
      <c r="B47" s="315" t="s">
        <v>640</v>
      </c>
      <c r="C47" s="420"/>
      <c r="D47" s="420"/>
      <c r="E47" s="420"/>
      <c r="F47" s="508"/>
      <c r="G47" s="315"/>
      <c r="H47" s="315"/>
      <c r="I47" s="315"/>
      <c r="J47" s="315"/>
    </row>
    <row r="48" spans="1:10" s="243" customFormat="1" ht="14.25" x14ac:dyDescent="0.25">
      <c r="A48" s="284"/>
      <c r="B48" s="465" t="s">
        <v>641</v>
      </c>
      <c r="C48" s="315"/>
      <c r="D48" s="315"/>
      <c r="E48" s="315"/>
      <c r="F48" s="315"/>
      <c r="G48" s="315"/>
      <c r="H48" s="315"/>
      <c r="I48" s="315"/>
    </row>
    <row r="49" spans="1:8" s="243" customFormat="1" ht="13.5" x14ac:dyDescent="0.2">
      <c r="A49" s="284"/>
    </row>
    <row r="50" spans="1:8" s="243" customFormat="1" ht="12" x14ac:dyDescent="0.2"/>
    <row r="51" spans="1:8" s="243" customFormat="1" ht="37.5" x14ac:dyDescent="0.2">
      <c r="A51" s="285" t="s">
        <v>170</v>
      </c>
      <c r="B51" s="286" t="s">
        <v>642</v>
      </c>
      <c r="C51" s="286" t="s">
        <v>643</v>
      </c>
      <c r="D51" s="286" t="s">
        <v>644</v>
      </c>
      <c r="E51" s="287" t="s">
        <v>171</v>
      </c>
      <c r="F51" s="285" t="s">
        <v>645</v>
      </c>
      <c r="G51" s="285" t="s">
        <v>646</v>
      </c>
      <c r="H51" s="286" t="s">
        <v>647</v>
      </c>
    </row>
    <row r="52" spans="1:8" s="243" customFormat="1" ht="24" x14ac:dyDescent="0.2">
      <c r="A52" s="288" t="s">
        <v>172</v>
      </c>
      <c r="B52" s="289">
        <f>53.06/0.453592</f>
        <v>116.97737173495123</v>
      </c>
      <c r="C52" s="290">
        <f>0.001/0.453592</f>
        <v>2.2046244201837776E-3</v>
      </c>
      <c r="D52" s="290">
        <f>0.0001/0.453592</f>
        <v>2.2046244201837776E-4</v>
      </c>
      <c r="E52" s="291" t="s">
        <v>165</v>
      </c>
      <c r="F52" s="292"/>
      <c r="G52" s="242">
        <v>1020</v>
      </c>
      <c r="H52" s="242"/>
    </row>
    <row r="53" spans="1:8" s="243" customFormat="1" ht="24" x14ac:dyDescent="0.2">
      <c r="A53" s="293" t="s">
        <v>173</v>
      </c>
      <c r="B53" s="289">
        <f>73.96/0.453592</f>
        <v>163.05402211679217</v>
      </c>
      <c r="C53" s="290">
        <f>0.003/0.453592</f>
        <v>6.6138732605513324E-3</v>
      </c>
      <c r="D53" s="290">
        <f>0.0006/0.453592</f>
        <v>1.3227746521102665E-3</v>
      </c>
      <c r="E53" s="291" t="s">
        <v>165</v>
      </c>
      <c r="F53" s="242">
        <v>7000</v>
      </c>
      <c r="G53" s="242"/>
      <c r="H53" s="289">
        <f>0.138*1000000</f>
        <v>138000</v>
      </c>
    </row>
    <row r="54" spans="1:8" s="243" customFormat="1" ht="24" x14ac:dyDescent="0.2">
      <c r="A54" s="242" t="s">
        <v>174</v>
      </c>
      <c r="B54" s="242">
        <f>70.22/0.453592</f>
        <v>154.80872678530486</v>
      </c>
      <c r="C54" s="294">
        <f>C53</f>
        <v>6.6138732605513324E-3</v>
      </c>
      <c r="D54" s="294">
        <f>D53</f>
        <v>1.3227746521102665E-3</v>
      </c>
      <c r="E54" s="291" t="s">
        <v>165</v>
      </c>
      <c r="F54" s="242">
        <v>7000</v>
      </c>
      <c r="G54" s="242"/>
      <c r="H54" s="242">
        <v>125000</v>
      </c>
    </row>
    <row r="55" spans="1:8" s="243" customFormat="1" ht="24" x14ac:dyDescent="0.2">
      <c r="A55" s="242" t="s">
        <v>648</v>
      </c>
      <c r="B55" s="242">
        <f>61.71/0.453592</f>
        <v>136.0473729695409</v>
      </c>
      <c r="C55" s="294">
        <f>C53</f>
        <v>6.6138732605513324E-3</v>
      </c>
      <c r="D55" s="294">
        <f>D53</f>
        <v>1.3227746521102665E-3</v>
      </c>
      <c r="E55" s="291" t="s">
        <v>165</v>
      </c>
      <c r="F55" s="242"/>
      <c r="G55" s="509">
        <v>2516</v>
      </c>
      <c r="H55" s="242">
        <f>0.092*1000000</f>
        <v>92000</v>
      </c>
    </row>
    <row r="56" spans="1:8" s="243" customFormat="1" ht="13.5" x14ac:dyDescent="0.2">
      <c r="A56" s="284">
        <v>1</v>
      </c>
      <c r="B56" s="243" t="s">
        <v>175</v>
      </c>
      <c r="D56" s="280"/>
      <c r="E56" s="280"/>
      <c r="F56" s="279"/>
    </row>
    <row r="57" spans="1:8" s="243" customFormat="1" ht="13.5" x14ac:dyDescent="0.2">
      <c r="A57" s="284">
        <v>2</v>
      </c>
      <c r="B57" s="243" t="s">
        <v>176</v>
      </c>
    </row>
    <row r="58" spans="1:8" s="243" customFormat="1" ht="12" x14ac:dyDescent="0.2">
      <c r="B58" s="243" t="s">
        <v>177</v>
      </c>
    </row>
    <row r="59" spans="1:8" ht="13.5" x14ac:dyDescent="0.2">
      <c r="A59" s="284">
        <v>3</v>
      </c>
      <c r="B59" s="861" t="s">
        <v>83</v>
      </c>
      <c r="C59" s="861"/>
      <c r="D59" s="861"/>
      <c r="E59" s="861"/>
      <c r="F59" s="243"/>
      <c r="G59" s="243"/>
      <c r="H59" s="243"/>
    </row>
    <row r="64" spans="1:8" x14ac:dyDescent="0.2">
      <c r="D64" s="510"/>
    </row>
  </sheetData>
  <mergeCells count="2">
    <mergeCell ref="A1:I1"/>
    <mergeCell ref="B59:E59"/>
  </mergeCells>
  <conditionalFormatting sqref="I5:I12 H5:H13 H17:I36">
    <cfRule type="cellIs" dxfId="0" priority="1" operator="equal">
      <formula>0</formula>
    </cfRule>
  </conditionalFormatting>
  <hyperlinks>
    <hyperlink ref="G4" r:id="rId1" xr:uid="{1224A9BB-84F5-43A6-A295-0EAE08BE06EC}"/>
    <hyperlink ref="F4" r:id="rId2" xr:uid="{6FD3FBD8-E06B-44A8-9805-C9BCD67BCCEE}"/>
    <hyperlink ref="D4" r:id="rId3" xr:uid="{09FF9F43-C347-4157-A62C-55D08A531A40}"/>
    <hyperlink ref="B4" r:id="rId4" xr:uid="{EE8FAC2E-BEF0-4EB5-83E8-6441C8418467}"/>
    <hyperlink ref="E4" r:id="rId5" xr:uid="{D622EFBF-DE48-4689-9160-7992AF9041FE}"/>
    <hyperlink ref="C4" r:id="rId6" xr:uid="{84D1E062-7F93-4AB0-AA46-BBECC47DF839}"/>
    <hyperlink ref="H4" r:id="rId7" xr:uid="{EE3D801C-99F9-49D8-AF88-805E1DB51A45}"/>
    <hyperlink ref="A12" r:id="rId8" xr:uid="{AD426838-0654-4817-A551-A51CAF3B9886}"/>
    <hyperlink ref="B59" r:id="rId9" xr:uid="{E46E974E-03DE-4221-A86A-95272510BEC1}"/>
    <hyperlink ref="D16" r:id="rId10" xr:uid="{E46D1E5E-1AB5-4E05-98F9-5FF88FB66A6A}"/>
    <hyperlink ref="B16" r:id="rId11" xr:uid="{1FCFFCB8-DF83-4D66-81D6-2CB81DB90627}"/>
    <hyperlink ref="C16" r:id="rId12" xr:uid="{09F2AF44-9576-435F-85D7-E59181EF0057}"/>
    <hyperlink ref="G16" r:id="rId13" xr:uid="{F5782EC6-E679-4161-A133-744660D7517D}"/>
    <hyperlink ref="F16" r:id="rId14" xr:uid="{88539EE8-3CA5-4192-9A2A-DF43D0925C68}"/>
    <hyperlink ref="H16" r:id="rId15" xr:uid="{A50851FA-3CC0-49EF-8C4B-6BA93365538E}"/>
    <hyperlink ref="C46" r:id="rId16" xr:uid="{6A5A51B3-2D2A-4A9A-8F44-9908112DB22C}"/>
  </hyperlinks>
  <pageMargins left="0.25" right="0.25" top="0.5" bottom="0.5" header="0.3" footer="0.3"/>
  <pageSetup scale="67" fitToHeight="0" orientation="landscape" r:id="rId17"/>
  <headerFooter>
    <oddFooter>&amp;L&amp;"Arial,Italic"&amp;8p-sbap5-30&amp;C&amp;"Arial,Italic"&amp;8https://www.pca.state.mn.us  •  Available in alternative formats  •  Use your preferred relay service&amp;R&amp;"Arial,Italic"&amp;8Page &amp;P of &amp;N</oddFooter>
    <firstFooter>&amp;L&amp;10Internal Combustion Engine Calculator - Instructions&amp;R&amp;10&amp;P</firstFooter>
  </headerFooter>
  <rowBreaks count="1" manualBreakCount="1">
    <brk id="36" max="16383" man="1"/>
  </rowBreaks>
  <legacyDrawing r:id="rId1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7752E-3E31-4ED6-81A5-11C1553C00E5}">
  <sheetPr codeName="Sheet8">
    <pageSetUpPr fitToPage="1"/>
  </sheetPr>
  <dimension ref="A1:C47"/>
  <sheetViews>
    <sheetView zoomScaleNormal="100" workbookViewId="0">
      <selection activeCell="A2" sqref="A2:C2"/>
    </sheetView>
  </sheetViews>
  <sheetFormatPr defaultColWidth="9.140625" defaultRowHeight="12" x14ac:dyDescent="0.2"/>
  <cols>
    <col min="1" max="1" width="41.28515625" style="315" customWidth="1"/>
    <col min="2" max="2" width="48.7109375" style="315" customWidth="1"/>
    <col min="3" max="3" width="21.42578125" style="315" customWidth="1"/>
    <col min="4" max="16384" width="9.140625" style="315"/>
  </cols>
  <sheetData>
    <row r="1" spans="1:3" ht="12.75" x14ac:dyDescent="0.2">
      <c r="A1" s="863" t="str">
        <f>Instructions!G2</f>
        <v>p-sbap5-30 • 7/31/25</v>
      </c>
      <c r="B1" s="863"/>
      <c r="C1" s="863"/>
    </row>
    <row r="2" spans="1:3" ht="19.5" thickBot="1" x14ac:dyDescent="0.35">
      <c r="A2" s="862" t="s">
        <v>655</v>
      </c>
      <c r="B2" s="862"/>
      <c r="C2" s="862"/>
    </row>
    <row r="3" spans="1:3" x14ac:dyDescent="0.2">
      <c r="A3" s="517"/>
      <c r="B3" s="517"/>
    </row>
    <row r="4" spans="1:3" ht="15" x14ac:dyDescent="0.2">
      <c r="A4" s="521" t="s">
        <v>229</v>
      </c>
      <c r="B4" s="206"/>
      <c r="C4" s="205" t="s">
        <v>244</v>
      </c>
    </row>
    <row r="5" spans="1:3" ht="12.75" x14ac:dyDescent="0.2">
      <c r="A5" s="214" t="s">
        <v>656</v>
      </c>
      <c r="B5" s="214" t="s">
        <v>398</v>
      </c>
      <c r="C5" s="207" t="s">
        <v>190</v>
      </c>
    </row>
    <row r="6" spans="1:3" ht="12.75" x14ac:dyDescent="0.2">
      <c r="A6" s="522" t="s">
        <v>93</v>
      </c>
      <c r="B6" s="208" t="s">
        <v>134</v>
      </c>
      <c r="C6" s="9" t="s">
        <v>22</v>
      </c>
    </row>
    <row r="7" spans="1:3" ht="12.75" x14ac:dyDescent="0.2">
      <c r="A7" s="522" t="s">
        <v>178</v>
      </c>
      <c r="B7" s="208" t="s">
        <v>412</v>
      </c>
      <c r="C7" s="9" t="s">
        <v>20</v>
      </c>
    </row>
    <row r="8" spans="1:3" ht="12.75" x14ac:dyDescent="0.2">
      <c r="A8" s="522" t="s">
        <v>180</v>
      </c>
      <c r="B8" s="208"/>
      <c r="C8" s="9" t="s">
        <v>21</v>
      </c>
    </row>
    <row r="9" spans="1:3" ht="12.75" x14ac:dyDescent="0.2">
      <c r="A9" s="208" t="s">
        <v>657</v>
      </c>
      <c r="B9" s="208"/>
      <c r="C9" s="9"/>
    </row>
    <row r="10" spans="1:3" ht="12.75" x14ac:dyDescent="0.2">
      <c r="A10" s="522" t="s">
        <v>182</v>
      </c>
      <c r="B10" s="208" t="s">
        <v>413</v>
      </c>
      <c r="C10" s="209" t="s">
        <v>221</v>
      </c>
    </row>
    <row r="11" spans="1:3" ht="12.75" x14ac:dyDescent="0.2">
      <c r="A11" s="522" t="s">
        <v>183</v>
      </c>
      <c r="B11" s="208" t="s">
        <v>414</v>
      </c>
      <c r="C11" s="210" t="s">
        <v>222</v>
      </c>
    </row>
    <row r="12" spans="1:3" ht="12.75" x14ac:dyDescent="0.2">
      <c r="A12" s="522" t="s">
        <v>184</v>
      </c>
      <c r="B12" s="208" t="s">
        <v>415</v>
      </c>
      <c r="C12" s="211">
        <f>SUM(C13:C14)</f>
        <v>0</v>
      </c>
    </row>
    <row r="13" spans="1:3" ht="12.75" x14ac:dyDescent="0.2">
      <c r="A13" s="522" t="s">
        <v>185</v>
      </c>
      <c r="B13" s="208" t="s">
        <v>416</v>
      </c>
      <c r="C13" s="211">
        <f>COUNTIF('Federal standards'!N16,"Yes")</f>
        <v>0</v>
      </c>
    </row>
    <row r="14" spans="1:3" ht="12.75" x14ac:dyDescent="0.2">
      <c r="A14" s="208"/>
      <c r="B14" s="208"/>
      <c r="C14" s="212">
        <f>COUNTIF('Federal standards'!N48,"Yes")</f>
        <v>0</v>
      </c>
    </row>
    <row r="15" spans="1:3" ht="12.75" x14ac:dyDescent="0.2">
      <c r="A15" s="6"/>
      <c r="B15" s="467"/>
      <c r="C15" s="213"/>
    </row>
    <row r="16" spans="1:3" ht="12.75" x14ac:dyDescent="0.2">
      <c r="A16" s="523" t="s">
        <v>658</v>
      </c>
      <c r="B16" s="524"/>
      <c r="C16" s="213" t="s">
        <v>223</v>
      </c>
    </row>
    <row r="17" spans="1:3" ht="12.75" x14ac:dyDescent="0.2">
      <c r="A17" s="522" t="s">
        <v>93</v>
      </c>
      <c r="B17" s="467"/>
      <c r="C17" s="212">
        <f>SUM(C18:C19)</f>
        <v>2</v>
      </c>
    </row>
    <row r="18" spans="1:3" ht="12.75" x14ac:dyDescent="0.2">
      <c r="A18" s="522" t="s">
        <v>179</v>
      </c>
      <c r="B18" s="525"/>
      <c r="C18" s="212">
        <f>IF('Federal standards'!N16="Choose Y/N",1,0)</f>
        <v>1</v>
      </c>
    </row>
    <row r="19" spans="1:3" ht="12.75" x14ac:dyDescent="0.2">
      <c r="A19" s="522" t="s">
        <v>181</v>
      </c>
      <c r="B19" s="525"/>
      <c r="C19" s="212">
        <f>IF('Federal standards'!N48="Choose Y/N",1,0)</f>
        <v>1</v>
      </c>
    </row>
    <row r="20" spans="1:3" ht="12.75" x14ac:dyDescent="0.2">
      <c r="A20" s="6"/>
      <c r="B20" s="467"/>
      <c r="C20" s="213"/>
    </row>
    <row r="21" spans="1:3" ht="12.75" x14ac:dyDescent="0.2">
      <c r="A21" s="6"/>
      <c r="B21" s="524"/>
      <c r="C21" s="214" t="s">
        <v>245</v>
      </c>
    </row>
    <row r="22" spans="1:3" ht="12.75" x14ac:dyDescent="0.2">
      <c r="A22" s="523" t="s">
        <v>272</v>
      </c>
      <c r="B22" s="467"/>
      <c r="C22" s="213" t="str">
        <f>IF(OR('Potential emissions'!G8&gt;=100,OR('Potential emissions'!G9&gt;=25,OR('Potential emissions'!G10&gt;=100,OR('Potential emissions'!G11&gt;=50,OR('Potential emissions'!G12&gt;=100,OR('Potential emissions'!G13&gt;=100,OR('Potential emissions'!G14&gt;=100,OR('Potential emissions'!G15&gt;=0.5,OR('Potential emissions'!G20&gt;=100000,OR('Potential emissions'!G47&gt;=10,'Potential emissions'!G48&gt;=25)))))))))),"yes","no")</f>
        <v>no</v>
      </c>
    </row>
    <row r="23" spans="1:3" ht="12.75" x14ac:dyDescent="0.2">
      <c r="A23" s="522" t="s">
        <v>93</v>
      </c>
      <c r="B23" s="525"/>
      <c r="C23" s="213"/>
    </row>
    <row r="24" spans="1:3" ht="12.75" x14ac:dyDescent="0.2">
      <c r="A24" s="522" t="s">
        <v>659</v>
      </c>
      <c r="B24" s="525"/>
      <c r="C24" s="214" t="s">
        <v>246</v>
      </c>
    </row>
    <row r="25" spans="1:3" ht="12.75" x14ac:dyDescent="0.2">
      <c r="A25" s="522" t="s">
        <v>660</v>
      </c>
      <c r="B25" s="467"/>
      <c r="C25" s="213" t="str">
        <f>IF(OR('Actual emissions'!G8&gt;=50,OR('Actual emissions'!G9&gt;=50,OR('Actual emissions'!G10&gt;=50,OR('Actual emissions'!G11&gt;=50,OR('Actual emissions'!G12&gt;=50,OR('Actual emissions'!G13&gt;=50,OR('Actual emissions'!G14&gt;=50,OR('Actual emissions'!G15&gt;=0.5,OR('Actual emissions'!G20&gt;=50000,OR('Actual emissions'!G47&gt;=5,'Actual emissions'!G48&gt;=12.5)))))))))),"yes","no")</f>
        <v>no</v>
      </c>
    </row>
    <row r="26" spans="1:3" ht="12.75" x14ac:dyDescent="0.2">
      <c r="A26" s="522" t="s">
        <v>661</v>
      </c>
      <c r="B26" s="467"/>
      <c r="C26" s="213"/>
    </row>
    <row r="27" spans="1:3" ht="12.75" x14ac:dyDescent="0.2">
      <c r="A27" s="6"/>
      <c r="B27" s="526"/>
    </row>
    <row r="28" spans="1:3" ht="12.75" x14ac:dyDescent="0.2">
      <c r="A28" s="523" t="s">
        <v>273</v>
      </c>
      <c r="B28" s="467"/>
    </row>
    <row r="29" spans="1:3" ht="12.75" x14ac:dyDescent="0.2">
      <c r="A29" s="522" t="s">
        <v>274</v>
      </c>
      <c r="B29" s="467"/>
    </row>
    <row r="30" spans="1:3" ht="12.75" x14ac:dyDescent="0.2">
      <c r="A30" s="522" t="s">
        <v>275</v>
      </c>
      <c r="B30" s="526"/>
    </row>
    <row r="31" spans="1:3" ht="12.75" x14ac:dyDescent="0.2">
      <c r="A31" s="522"/>
      <c r="B31" s="467"/>
    </row>
    <row r="32" spans="1:3" ht="12.75" x14ac:dyDescent="0.2">
      <c r="A32" s="522"/>
      <c r="B32" s="467"/>
    </row>
    <row r="33" spans="1:1" ht="12.75" x14ac:dyDescent="0.2">
      <c r="A33" s="6"/>
    </row>
    <row r="46" spans="1:1" x14ac:dyDescent="0.2">
      <c r="A46" s="315" t="s">
        <v>662</v>
      </c>
    </row>
    <row r="47" spans="1:1" x14ac:dyDescent="0.2">
      <c r="A47" s="315" t="s">
        <v>663</v>
      </c>
    </row>
  </sheetData>
  <protectedRanges>
    <protectedRange sqref="B38:XFD246 A44:A246" name="Range2"/>
    <protectedRange sqref="C33:ZT1048576 C1:ZT32" name="Range1"/>
  </protectedRanges>
  <mergeCells count="2">
    <mergeCell ref="A2:C2"/>
    <mergeCell ref="A1:C1"/>
  </mergeCells>
  <pageMargins left="0.25" right="0.25" top="0.75" bottom="0.75" header="0.3" footer="0.3"/>
  <pageSetup fitToHeight="0" orientation="landscape" r:id="rId1"/>
  <headerFooter differentFirst="1">
    <oddFooter>&amp;L&amp;"Arial,Italic"&amp;8p-sbap5-43&amp;C&amp;"Arial,Italic"&amp;8 •  www.pca.state.mn.us  •  Available in alternative formats  •  651-296-6300  •  800-657-3864  •  Use your preferred relay service&amp;R&amp;"Arial,Italic"&amp;8Page &amp;P of &amp;N</oddFooter>
    <firstFooter>&amp;L&amp;10Internal Combustion Engine Calculator - Instructions&amp;R&amp;10&amp;P</first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D1EAFF"/>
    <pageSetUpPr fitToPage="1"/>
  </sheetPr>
  <dimension ref="B1:R98"/>
  <sheetViews>
    <sheetView showGridLines="0" zoomScaleNormal="100" zoomScaleSheetLayoutView="100" workbookViewId="0">
      <selection activeCell="B1" sqref="B1:O1"/>
    </sheetView>
  </sheetViews>
  <sheetFormatPr defaultColWidth="9.140625" defaultRowHeight="15" x14ac:dyDescent="0.25"/>
  <cols>
    <col min="1" max="1" width="3.28515625" style="143" customWidth="1"/>
    <col min="2" max="15" width="9.7109375" style="143" customWidth="1"/>
    <col min="16" max="16384" width="9.140625" style="143"/>
  </cols>
  <sheetData>
    <row r="1" spans="2:15" x14ac:dyDescent="0.25">
      <c r="B1" s="562" t="str">
        <f>Instructions!G2</f>
        <v>p-sbap5-30 • 7/31/25</v>
      </c>
      <c r="C1" s="562"/>
      <c r="D1" s="562"/>
      <c r="E1" s="562"/>
      <c r="F1" s="562"/>
      <c r="G1" s="562"/>
      <c r="H1" s="562"/>
      <c r="I1" s="562"/>
      <c r="J1" s="562"/>
      <c r="K1" s="562"/>
      <c r="L1" s="562"/>
      <c r="M1" s="562"/>
      <c r="N1" s="562"/>
      <c r="O1" s="562"/>
    </row>
    <row r="2" spans="2:15" ht="19.5" thickBot="1" x14ac:dyDescent="0.3">
      <c r="B2" s="566" t="s">
        <v>367</v>
      </c>
      <c r="C2" s="566"/>
      <c r="D2" s="566"/>
      <c r="E2" s="566"/>
      <c r="F2" s="566"/>
      <c r="G2" s="566"/>
      <c r="H2" s="566"/>
      <c r="I2" s="566"/>
      <c r="J2" s="566"/>
      <c r="K2" s="566"/>
      <c r="L2" s="566"/>
      <c r="M2" s="566"/>
      <c r="N2" s="566"/>
      <c r="O2" s="566"/>
    </row>
    <row r="3" spans="2:15" ht="18.75" x14ac:dyDescent="0.25">
      <c r="B3" s="552"/>
      <c r="C3" s="552"/>
      <c r="D3" s="552"/>
      <c r="E3" s="552"/>
      <c r="F3" s="552"/>
      <c r="G3" s="552"/>
      <c r="H3" s="552"/>
      <c r="I3" s="552"/>
      <c r="J3" s="552"/>
      <c r="K3" s="552"/>
      <c r="L3" s="552"/>
      <c r="M3" s="552"/>
      <c r="N3" s="552"/>
      <c r="O3" s="552"/>
    </row>
    <row r="4" spans="2:15" s="166" customFormat="1" ht="15" customHeight="1" x14ac:dyDescent="0.2">
      <c r="B4" s="553" t="s">
        <v>293</v>
      </c>
      <c r="C4" s="553"/>
      <c r="D4" s="553"/>
      <c r="E4" s="553"/>
      <c r="F4" s="553"/>
      <c r="G4" s="553"/>
      <c r="H4" s="553"/>
      <c r="I4" s="553" t="s">
        <v>294</v>
      </c>
      <c r="J4" s="553"/>
      <c r="K4" s="553"/>
      <c r="L4" s="553"/>
      <c r="M4" s="553"/>
      <c r="N4" s="553"/>
      <c r="O4" s="553"/>
    </row>
    <row r="5" spans="2:15" s="166" customFormat="1" ht="15" customHeight="1" x14ac:dyDescent="0.2">
      <c r="B5" s="553"/>
      <c r="C5" s="553"/>
      <c r="D5" s="553"/>
      <c r="E5" s="553"/>
      <c r="F5" s="553"/>
      <c r="G5" s="553"/>
      <c r="H5" s="553"/>
      <c r="I5" s="553"/>
      <c r="J5" s="553"/>
      <c r="K5" s="553"/>
      <c r="L5" s="553"/>
      <c r="M5" s="553"/>
      <c r="N5" s="553"/>
      <c r="O5" s="553"/>
    </row>
    <row r="6" spans="2:15" s="166" customFormat="1" ht="15" customHeight="1" x14ac:dyDescent="0.2">
      <c r="B6" s="553"/>
      <c r="C6" s="553"/>
      <c r="D6" s="553"/>
      <c r="E6" s="553"/>
      <c r="F6" s="553"/>
      <c r="G6" s="553"/>
      <c r="H6" s="553"/>
      <c r="I6" s="553"/>
      <c r="J6" s="553"/>
      <c r="K6" s="553"/>
      <c r="L6" s="553"/>
      <c r="M6" s="553"/>
      <c r="N6" s="553"/>
      <c r="O6" s="553"/>
    </row>
    <row r="7" spans="2:15" s="166" customFormat="1" ht="15" customHeight="1" x14ac:dyDescent="0.2">
      <c r="B7" s="390" t="s">
        <v>230</v>
      </c>
      <c r="C7" s="560" t="s">
        <v>231</v>
      </c>
      <c r="D7" s="560"/>
      <c r="E7" s="560"/>
      <c r="F7" s="560"/>
      <c r="G7" s="560"/>
      <c r="H7" s="560"/>
      <c r="I7" s="560"/>
      <c r="J7" s="560"/>
      <c r="K7" s="560"/>
      <c r="L7" s="560"/>
      <c r="M7" s="560"/>
      <c r="N7" s="560"/>
      <c r="O7" s="561"/>
    </row>
    <row r="8" spans="2:15" s="166" customFormat="1" ht="15" customHeight="1" x14ac:dyDescent="0.2">
      <c r="B8" s="572" t="s">
        <v>230</v>
      </c>
      <c r="C8" s="553" t="s">
        <v>446</v>
      </c>
      <c r="D8" s="553"/>
      <c r="E8" s="553"/>
      <c r="F8" s="553"/>
      <c r="G8" s="553"/>
      <c r="H8" s="553"/>
      <c r="I8" s="553"/>
      <c r="J8" s="553"/>
      <c r="K8" s="553"/>
      <c r="L8" s="553"/>
      <c r="M8" s="553"/>
      <c r="N8" s="553"/>
      <c r="O8" s="561"/>
    </row>
    <row r="9" spans="2:15" s="166" customFormat="1" ht="15" customHeight="1" x14ac:dyDescent="0.2">
      <c r="B9" s="572"/>
      <c r="C9" s="553"/>
      <c r="D9" s="553"/>
      <c r="E9" s="553"/>
      <c r="F9" s="553"/>
      <c r="G9" s="553"/>
      <c r="H9" s="553"/>
      <c r="I9" s="553"/>
      <c r="J9" s="553"/>
      <c r="K9" s="553"/>
      <c r="L9" s="553"/>
      <c r="M9" s="553"/>
      <c r="N9" s="553"/>
      <c r="O9" s="561"/>
    </row>
    <row r="10" spans="2:15" s="166" customFormat="1" ht="10.5" customHeight="1" x14ac:dyDescent="0.2">
      <c r="B10" s="393"/>
      <c r="C10" s="553"/>
      <c r="D10" s="553"/>
      <c r="E10" s="553"/>
      <c r="F10" s="553"/>
      <c r="G10" s="553"/>
      <c r="H10" s="553"/>
      <c r="I10" s="553"/>
      <c r="J10" s="553"/>
      <c r="K10" s="553"/>
      <c r="L10" s="553"/>
      <c r="M10" s="553"/>
      <c r="N10" s="553"/>
      <c r="O10" s="561"/>
    </row>
    <row r="11" spans="2:15" s="166" customFormat="1" ht="15" customHeight="1" x14ac:dyDescent="0.2">
      <c r="B11" s="390" t="s">
        <v>230</v>
      </c>
      <c r="C11" s="553" t="s">
        <v>251</v>
      </c>
      <c r="D11" s="553"/>
      <c r="E11" s="553"/>
      <c r="F11" s="553"/>
      <c r="G11" s="553"/>
      <c r="H11" s="553"/>
      <c r="I11" s="553"/>
      <c r="J11" s="553"/>
      <c r="K11" s="553"/>
      <c r="L11" s="553"/>
      <c r="M11" s="553"/>
      <c r="N11" s="553"/>
      <c r="O11" s="561"/>
    </row>
    <row r="12" spans="2:15" s="166" customFormat="1" ht="15" customHeight="1" x14ac:dyDescent="0.2">
      <c r="B12" s="393"/>
      <c r="C12" s="553"/>
      <c r="D12" s="553"/>
      <c r="E12" s="553"/>
      <c r="F12" s="553"/>
      <c r="G12" s="553"/>
      <c r="H12" s="553"/>
      <c r="I12" s="553"/>
      <c r="J12" s="553"/>
      <c r="K12" s="553"/>
      <c r="L12" s="553"/>
      <c r="M12" s="553"/>
      <c r="N12" s="553"/>
      <c r="O12" s="561"/>
    </row>
    <row r="13" spans="2:15" s="166" customFormat="1" ht="15" customHeight="1" x14ac:dyDescent="0.2">
      <c r="B13" s="393"/>
      <c r="C13" s="553"/>
      <c r="D13" s="553"/>
      <c r="E13" s="553"/>
      <c r="F13" s="553"/>
      <c r="G13" s="553"/>
      <c r="H13" s="553"/>
      <c r="I13" s="553"/>
      <c r="J13" s="553"/>
      <c r="K13" s="553"/>
      <c r="L13" s="553"/>
      <c r="M13" s="553"/>
      <c r="N13" s="553"/>
      <c r="O13" s="393"/>
    </row>
    <row r="14" spans="2:15" s="166" customFormat="1" ht="15" customHeight="1" x14ac:dyDescent="0.2">
      <c r="B14" s="574"/>
      <c r="C14" s="574"/>
      <c r="D14" s="574"/>
      <c r="E14" s="574"/>
      <c r="F14" s="574"/>
      <c r="G14" s="574"/>
      <c r="H14" s="574"/>
      <c r="I14" s="574"/>
      <c r="J14" s="574"/>
      <c r="K14" s="574"/>
      <c r="L14" s="574"/>
      <c r="M14" s="574"/>
      <c r="N14" s="574"/>
      <c r="O14" s="574"/>
    </row>
    <row r="15" spans="2:15" x14ac:dyDescent="0.25">
      <c r="B15" s="573" t="s">
        <v>233</v>
      </c>
      <c r="C15" s="573"/>
      <c r="D15" s="573"/>
      <c r="E15" s="573"/>
      <c r="F15" s="573"/>
      <c r="G15" s="573"/>
      <c r="H15" s="573"/>
      <c r="I15" s="573"/>
      <c r="J15" s="573"/>
      <c r="K15" s="573"/>
      <c r="L15" s="573"/>
      <c r="M15" s="573"/>
      <c r="N15" s="573"/>
      <c r="O15" s="573"/>
    </row>
    <row r="16" spans="2:15" s="166" customFormat="1" ht="15" customHeight="1" x14ac:dyDescent="0.2">
      <c r="B16" s="557" t="s">
        <v>191</v>
      </c>
      <c r="C16" s="557"/>
      <c r="D16" s="557"/>
      <c r="E16" s="557"/>
      <c r="F16" s="557"/>
      <c r="G16" s="557"/>
      <c r="H16" s="557"/>
      <c r="I16" s="557"/>
      <c r="J16" s="557"/>
      <c r="K16" s="557"/>
      <c r="L16" s="557"/>
      <c r="M16" s="557"/>
      <c r="N16" s="558" t="s">
        <v>22</v>
      </c>
      <c r="O16" s="559"/>
    </row>
    <row r="17" spans="2:15" s="166" customFormat="1" ht="15" customHeight="1" x14ac:dyDescent="0.2">
      <c r="B17" s="585" t="s">
        <v>447</v>
      </c>
      <c r="C17" s="585"/>
      <c r="D17" s="585"/>
      <c r="E17" s="585"/>
      <c r="F17" s="585"/>
      <c r="G17" s="585"/>
      <c r="H17" s="585"/>
      <c r="I17" s="585"/>
      <c r="J17" s="585"/>
      <c r="K17" s="585"/>
      <c r="L17" s="585"/>
      <c r="M17" s="585"/>
      <c r="N17" s="565" t="str">
        <f>IF($N$16="Yes","Because this NSPS applies to your operation, you need an air permit.",IF($N$16="No","Continue to the next question.",IF($N$16="Choose Y/N"," "," ")))</f>
        <v xml:space="preserve"> </v>
      </c>
      <c r="O17" s="565"/>
    </row>
    <row r="18" spans="2:15" s="166" customFormat="1" ht="15" customHeight="1" x14ac:dyDescent="0.2">
      <c r="B18" s="585"/>
      <c r="C18" s="585"/>
      <c r="D18" s="585"/>
      <c r="E18" s="585"/>
      <c r="F18" s="585"/>
      <c r="G18" s="585"/>
      <c r="H18" s="585"/>
      <c r="I18" s="585"/>
      <c r="J18" s="585"/>
      <c r="K18" s="585"/>
      <c r="L18" s="585"/>
      <c r="M18" s="585"/>
      <c r="N18" s="565"/>
      <c r="O18" s="565"/>
    </row>
    <row r="19" spans="2:15" s="166" customFormat="1" ht="15" customHeight="1" x14ac:dyDescent="0.2">
      <c r="B19" s="167" t="s">
        <v>17</v>
      </c>
      <c r="C19" s="554" t="s">
        <v>192</v>
      </c>
      <c r="D19" s="554"/>
      <c r="E19" s="554"/>
      <c r="F19" s="554"/>
      <c r="G19" s="554"/>
      <c r="H19" s="554"/>
      <c r="I19" s="554"/>
      <c r="J19" s="554"/>
      <c r="K19" s="554"/>
      <c r="L19" s="554"/>
      <c r="M19" s="554"/>
      <c r="N19" s="565"/>
      <c r="O19" s="565"/>
    </row>
    <row r="20" spans="2:15" s="166" customFormat="1" ht="15" customHeight="1" x14ac:dyDescent="0.2">
      <c r="B20" s="167" t="s">
        <v>18</v>
      </c>
      <c r="C20" s="551" t="s">
        <v>250</v>
      </c>
      <c r="D20" s="551"/>
      <c r="E20" s="551"/>
      <c r="F20" s="551"/>
      <c r="G20" s="551"/>
      <c r="H20" s="551"/>
      <c r="I20" s="551"/>
      <c r="J20" s="551"/>
      <c r="K20" s="551"/>
      <c r="L20" s="551"/>
      <c r="M20" s="551"/>
      <c r="N20" s="565"/>
      <c r="O20" s="565"/>
    </row>
    <row r="21" spans="2:15" s="166" customFormat="1" ht="15" customHeight="1" x14ac:dyDescent="0.2">
      <c r="B21" s="551" t="s">
        <v>252</v>
      </c>
      <c r="C21" s="551"/>
      <c r="D21" s="551"/>
      <c r="E21" s="551"/>
      <c r="F21" s="551"/>
      <c r="G21" s="551"/>
      <c r="H21" s="551"/>
      <c r="I21" s="551"/>
      <c r="J21" s="551"/>
      <c r="K21" s="551"/>
      <c r="L21" s="551"/>
      <c r="M21" s="551"/>
      <c r="N21" s="550" t="str">
        <f>IF(N16="Yes","Continue to the next question.",IF(N16="No","",IF(N16="Choose Y/N"," ")))</f>
        <v xml:space="preserve"> </v>
      </c>
      <c r="O21" s="550"/>
    </row>
    <row r="22" spans="2:15" s="166" customFormat="1" ht="15" customHeight="1" x14ac:dyDescent="0.2">
      <c r="B22" s="551"/>
      <c r="C22" s="551"/>
      <c r="D22" s="551"/>
      <c r="E22" s="551"/>
      <c r="F22" s="551"/>
      <c r="G22" s="551"/>
      <c r="H22" s="551"/>
      <c r="I22" s="551"/>
      <c r="J22" s="551"/>
      <c r="K22" s="551"/>
      <c r="L22" s="551"/>
      <c r="M22" s="551"/>
      <c r="N22" s="550"/>
      <c r="O22" s="550"/>
    </row>
    <row r="23" spans="2:15" s="166" customFormat="1" ht="15" customHeight="1" x14ac:dyDescent="0.2">
      <c r="B23" s="551"/>
      <c r="C23" s="551"/>
      <c r="D23" s="551"/>
      <c r="E23" s="551"/>
      <c r="F23" s="551"/>
      <c r="G23" s="551"/>
      <c r="H23" s="551"/>
      <c r="I23" s="551"/>
      <c r="J23" s="551"/>
      <c r="K23" s="551"/>
      <c r="L23" s="551"/>
      <c r="M23" s="551"/>
      <c r="N23" s="164"/>
      <c r="O23" s="164"/>
    </row>
    <row r="24" spans="2:15" s="166" customFormat="1" ht="15" customHeight="1" x14ac:dyDescent="0.2">
      <c r="B24" s="582"/>
      <c r="C24" s="582"/>
      <c r="D24" s="582"/>
      <c r="E24" s="582"/>
      <c r="F24" s="582"/>
      <c r="G24" s="582"/>
      <c r="H24" s="582"/>
      <c r="I24" s="582"/>
      <c r="J24" s="582"/>
      <c r="K24" s="582"/>
      <c r="L24" s="582"/>
      <c r="M24" s="582"/>
      <c r="N24" s="164"/>
      <c r="O24" s="164"/>
    </row>
    <row r="25" spans="2:15" s="166" customFormat="1" ht="15" customHeight="1" x14ac:dyDescent="0.2">
      <c r="D25" s="168" t="s">
        <v>300</v>
      </c>
      <c r="E25" s="567" t="s">
        <v>206</v>
      </c>
      <c r="F25" s="567"/>
      <c r="G25" s="567"/>
      <c r="H25" s="169"/>
      <c r="I25" s="169"/>
      <c r="J25" s="168"/>
      <c r="K25" s="168"/>
      <c r="L25" s="168"/>
      <c r="M25" s="164"/>
      <c r="N25" s="164"/>
    </row>
    <row r="26" spans="2:15" s="166" customFormat="1" ht="15" customHeight="1" x14ac:dyDescent="0.2">
      <c r="D26" s="168" t="s">
        <v>301</v>
      </c>
      <c r="E26" s="567" t="s">
        <v>193</v>
      </c>
      <c r="F26" s="567"/>
      <c r="G26" s="567"/>
      <c r="H26" s="567"/>
      <c r="I26" s="567"/>
      <c r="J26" s="115"/>
      <c r="K26" s="115"/>
      <c r="L26" s="115"/>
      <c r="M26" s="164"/>
      <c r="N26" s="164"/>
    </row>
    <row r="27" spans="2:15" s="166" customFormat="1" ht="15" customHeight="1" x14ac:dyDescent="0.2">
      <c r="B27" s="584"/>
      <c r="C27" s="584"/>
      <c r="D27" s="584"/>
      <c r="E27" s="584"/>
      <c r="F27" s="584"/>
      <c r="G27" s="584"/>
      <c r="H27" s="584"/>
      <c r="I27" s="584"/>
      <c r="J27" s="584"/>
      <c r="K27" s="584"/>
      <c r="L27" s="584"/>
      <c r="M27" s="584"/>
      <c r="N27" s="584"/>
      <c r="O27" s="584"/>
    </row>
    <row r="28" spans="2:15" s="166" customFormat="1" ht="15" customHeight="1" x14ac:dyDescent="0.2">
      <c r="B28" s="584"/>
      <c r="C28" s="584"/>
      <c r="D28" s="584"/>
      <c r="E28" s="584"/>
      <c r="F28" s="584"/>
      <c r="G28" s="584"/>
      <c r="H28" s="584"/>
      <c r="I28" s="584"/>
      <c r="J28" s="584"/>
      <c r="K28" s="584"/>
      <c r="L28" s="584"/>
      <c r="M28" s="584"/>
      <c r="N28" s="584"/>
      <c r="O28" s="584"/>
    </row>
    <row r="29" spans="2:15" s="166" customFormat="1" ht="15" customHeight="1" x14ac:dyDescent="0.2">
      <c r="B29" s="557" t="s">
        <v>298</v>
      </c>
      <c r="C29" s="557"/>
      <c r="D29" s="557"/>
      <c r="E29" s="557"/>
      <c r="F29" s="557"/>
      <c r="G29" s="557"/>
      <c r="H29" s="557"/>
      <c r="I29" s="557"/>
      <c r="J29" s="557"/>
      <c r="K29" s="557"/>
      <c r="L29" s="557"/>
      <c r="M29" s="557"/>
      <c r="N29" s="558" t="s">
        <v>22</v>
      </c>
      <c r="O29" s="559"/>
    </row>
    <row r="30" spans="2:15" s="166" customFormat="1" ht="15" customHeight="1" x14ac:dyDescent="0.2">
      <c r="B30" s="554" t="s">
        <v>207</v>
      </c>
      <c r="C30" s="554"/>
      <c r="D30" s="554"/>
      <c r="E30" s="554"/>
      <c r="F30" s="554"/>
      <c r="G30" s="554"/>
      <c r="H30" s="554"/>
      <c r="I30" s="554"/>
      <c r="J30" s="554"/>
      <c r="K30" s="554"/>
      <c r="L30" s="554"/>
      <c r="M30" s="554"/>
      <c r="N30" s="579" t="str">
        <f>IF(N29="Yes","You must follow NSPS requirements. Assess emissions to see if you need a permit.",IF(N29="No","Continue to the next question.",IF(N29="Choose Y/N"," "," ")))</f>
        <v xml:space="preserve"> </v>
      </c>
      <c r="O30" s="579"/>
    </row>
    <row r="31" spans="2:15" s="166" customFormat="1" ht="15" customHeight="1" x14ac:dyDescent="0.2">
      <c r="B31" s="167" t="s">
        <v>17</v>
      </c>
      <c r="C31" s="554" t="s">
        <v>194</v>
      </c>
      <c r="D31" s="554"/>
      <c r="E31" s="554"/>
      <c r="F31" s="554"/>
      <c r="G31" s="554"/>
      <c r="H31" s="554"/>
      <c r="I31" s="167" t="s">
        <v>195</v>
      </c>
      <c r="J31" s="555" t="s">
        <v>196</v>
      </c>
      <c r="K31" s="555"/>
      <c r="L31" s="555"/>
      <c r="M31" s="555"/>
      <c r="N31" s="565"/>
      <c r="O31" s="565"/>
    </row>
    <row r="32" spans="2:15" s="166" customFormat="1" ht="15" customHeight="1" x14ac:dyDescent="0.2">
      <c r="B32" s="167" t="s">
        <v>18</v>
      </c>
      <c r="C32" s="554" t="s">
        <v>197</v>
      </c>
      <c r="D32" s="554"/>
      <c r="E32" s="554"/>
      <c r="F32" s="554"/>
      <c r="G32" s="554"/>
      <c r="H32" s="554"/>
      <c r="I32" s="554"/>
      <c r="J32" s="555" t="s">
        <v>198</v>
      </c>
      <c r="K32" s="555"/>
      <c r="L32" s="555"/>
      <c r="M32" s="555"/>
      <c r="N32" s="565"/>
      <c r="O32" s="565"/>
    </row>
    <row r="33" spans="2:15" s="166" customFormat="1" ht="15" customHeight="1" x14ac:dyDescent="0.2">
      <c r="B33" s="556"/>
      <c r="C33" s="556"/>
      <c r="D33" s="556"/>
      <c r="E33" s="556"/>
      <c r="F33" s="556"/>
      <c r="G33" s="556"/>
      <c r="H33" s="556"/>
      <c r="I33" s="556"/>
      <c r="J33" s="556"/>
      <c r="K33" s="556"/>
      <c r="L33" s="556"/>
      <c r="M33" s="556"/>
      <c r="N33" s="565"/>
      <c r="O33" s="565"/>
    </row>
    <row r="34" spans="2:15" s="166" customFormat="1" ht="15" customHeight="1" x14ac:dyDescent="0.2">
      <c r="B34" s="170" t="s">
        <v>16</v>
      </c>
      <c r="C34" s="554" t="s">
        <v>199</v>
      </c>
      <c r="D34" s="554"/>
      <c r="E34" s="554"/>
      <c r="F34" s="554"/>
      <c r="G34" s="554"/>
      <c r="H34" s="554"/>
      <c r="I34" s="554"/>
      <c r="J34" s="554"/>
      <c r="K34" s="554"/>
      <c r="L34" s="554"/>
      <c r="M34" s="554"/>
      <c r="N34" s="565"/>
      <c r="O34" s="565"/>
    </row>
    <row r="35" spans="2:15" s="166" customFormat="1" ht="15" customHeight="1" x14ac:dyDescent="0.2">
      <c r="B35" s="115"/>
      <c r="C35" s="563" t="s">
        <v>665</v>
      </c>
      <c r="D35" s="564"/>
      <c r="E35" s="564"/>
      <c r="F35" s="564"/>
      <c r="G35" s="564"/>
      <c r="H35" s="564"/>
      <c r="I35" s="564"/>
      <c r="J35" s="564"/>
      <c r="K35" s="564"/>
      <c r="L35" s="564"/>
      <c r="M35" s="564"/>
      <c r="N35" s="550" t="str">
        <f>IF(N29="Yes","Continue to the next question.",IF(N29="No","",IF(N29="Choose Y/N"," ")))</f>
        <v xml:space="preserve"> </v>
      </c>
      <c r="O35" s="550"/>
    </row>
    <row r="36" spans="2:15" s="166" customFormat="1" ht="15" customHeight="1" x14ac:dyDescent="0.2">
      <c r="B36" s="568" t="s">
        <v>253</v>
      </c>
      <c r="C36" s="568"/>
      <c r="D36" s="568"/>
      <c r="E36" s="568"/>
      <c r="F36" s="568"/>
      <c r="G36" s="568"/>
      <c r="H36" s="568"/>
      <c r="I36" s="568"/>
      <c r="J36" s="568"/>
      <c r="K36" s="568"/>
      <c r="L36" s="568"/>
      <c r="M36" s="568"/>
      <c r="N36" s="550"/>
      <c r="O36" s="550"/>
    </row>
    <row r="37" spans="2:15" s="166" customFormat="1" ht="15" customHeight="1" x14ac:dyDescent="0.2">
      <c r="B37" s="568"/>
      <c r="C37" s="568"/>
      <c r="D37" s="568"/>
      <c r="E37" s="568"/>
      <c r="F37" s="568"/>
      <c r="G37" s="568"/>
      <c r="H37" s="568"/>
      <c r="I37" s="568"/>
      <c r="J37" s="568"/>
      <c r="K37" s="568"/>
      <c r="L37" s="568"/>
      <c r="M37" s="568"/>
      <c r="N37" s="568"/>
      <c r="O37" s="568"/>
    </row>
    <row r="38" spans="2:15" s="166" customFormat="1" ht="15" customHeight="1" x14ac:dyDescent="0.2">
      <c r="B38" s="568"/>
      <c r="C38" s="568"/>
      <c r="D38" s="568"/>
      <c r="E38" s="568"/>
      <c r="F38" s="568"/>
      <c r="G38" s="568"/>
      <c r="H38" s="568"/>
      <c r="I38" s="568"/>
      <c r="J38" s="568"/>
      <c r="K38" s="568"/>
      <c r="L38" s="568"/>
      <c r="M38" s="568"/>
      <c r="N38" s="568"/>
      <c r="O38" s="568"/>
    </row>
    <row r="39" spans="2:15" s="166" customFormat="1" ht="15" customHeight="1" x14ac:dyDescent="0.2">
      <c r="B39" s="557" t="s">
        <v>200</v>
      </c>
      <c r="C39" s="557"/>
      <c r="D39" s="557"/>
      <c r="E39" s="557"/>
      <c r="F39" s="557"/>
      <c r="G39" s="557"/>
      <c r="H39" s="557"/>
      <c r="I39" s="557"/>
      <c r="J39" s="557"/>
      <c r="K39" s="557"/>
      <c r="L39" s="557"/>
      <c r="M39" s="557"/>
      <c r="N39" s="558" t="s">
        <v>22</v>
      </c>
      <c r="O39" s="559"/>
    </row>
    <row r="40" spans="2:15" s="166" customFormat="1" ht="15" customHeight="1" x14ac:dyDescent="0.2">
      <c r="B40" s="554" t="s">
        <v>254</v>
      </c>
      <c r="C40" s="554"/>
      <c r="D40" s="554"/>
      <c r="E40" s="554"/>
      <c r="F40" s="554"/>
      <c r="G40" s="554"/>
      <c r="H40" s="554"/>
      <c r="I40" s="554"/>
      <c r="J40" s="554"/>
      <c r="K40" s="554"/>
      <c r="L40" s="554"/>
      <c r="M40" s="554"/>
      <c r="N40" s="579" t="str">
        <f>IF(N39="Yes","You must follow NSPS requirements. Assess emissions to see if you need a permit.",IF(N39="No","Continue to the next question.",IF(N39="Choose Y/N"," "," ")))</f>
        <v xml:space="preserve"> </v>
      </c>
      <c r="O40" s="579"/>
    </row>
    <row r="41" spans="2:15" s="166" customFormat="1" ht="15" customHeight="1" x14ac:dyDescent="0.2">
      <c r="B41" s="167" t="s">
        <v>17</v>
      </c>
      <c r="C41" s="554" t="s">
        <v>255</v>
      </c>
      <c r="D41" s="554"/>
      <c r="E41" s="554"/>
      <c r="F41" s="554"/>
      <c r="G41" s="554"/>
      <c r="H41" s="554"/>
      <c r="I41" s="554"/>
      <c r="J41" s="554"/>
      <c r="K41" s="554"/>
      <c r="L41" s="554"/>
      <c r="M41" s="554"/>
      <c r="N41" s="565"/>
      <c r="O41" s="565"/>
    </row>
    <row r="42" spans="2:15" s="166" customFormat="1" ht="15" customHeight="1" x14ac:dyDescent="0.2">
      <c r="B42" s="167" t="s">
        <v>18</v>
      </c>
      <c r="C42" s="554" t="s">
        <v>256</v>
      </c>
      <c r="D42" s="554"/>
      <c r="E42" s="554"/>
      <c r="F42" s="554"/>
      <c r="G42" s="554"/>
      <c r="H42" s="554"/>
      <c r="I42" s="554"/>
      <c r="J42" s="554"/>
      <c r="K42" s="554"/>
      <c r="L42" s="554"/>
      <c r="M42" s="554"/>
      <c r="N42" s="565"/>
      <c r="O42" s="565"/>
    </row>
    <row r="43" spans="2:15" s="166" customFormat="1" ht="15" customHeight="1" x14ac:dyDescent="0.2">
      <c r="B43" s="167" t="s">
        <v>19</v>
      </c>
      <c r="C43" s="171" t="s">
        <v>201</v>
      </c>
      <c r="D43" s="171"/>
      <c r="E43" s="171"/>
      <c r="F43" s="171"/>
      <c r="G43" s="171"/>
      <c r="H43" s="171"/>
      <c r="I43" s="171"/>
      <c r="J43" s="171"/>
      <c r="K43" s="171"/>
      <c r="L43" s="171"/>
      <c r="M43" s="171"/>
      <c r="N43" s="565"/>
      <c r="O43" s="565"/>
    </row>
    <row r="44" spans="2:15" s="166" customFormat="1" ht="15" customHeight="1" x14ac:dyDescent="0.2">
      <c r="B44" s="578"/>
      <c r="C44" s="578"/>
      <c r="D44" s="578"/>
      <c r="E44" s="578"/>
      <c r="F44" s="578"/>
      <c r="G44" s="578"/>
      <c r="H44" s="578"/>
      <c r="I44" s="578"/>
      <c r="J44" s="578"/>
      <c r="K44" s="578"/>
      <c r="L44" s="578"/>
      <c r="M44" s="578"/>
      <c r="N44" s="565"/>
      <c r="O44" s="565"/>
    </row>
    <row r="45" spans="2:15" s="166" customFormat="1" ht="15" customHeight="1" x14ac:dyDescent="0.2">
      <c r="C45" s="218" t="s">
        <v>202</v>
      </c>
      <c r="D45" s="218"/>
      <c r="E45" s="218"/>
      <c r="F45" s="218"/>
      <c r="G45" s="218"/>
      <c r="H45" s="218"/>
      <c r="I45" s="567" t="s">
        <v>203</v>
      </c>
      <c r="J45" s="567"/>
      <c r="K45" s="567"/>
      <c r="L45" s="567"/>
      <c r="M45" s="219"/>
      <c r="N45" s="550" t="str">
        <f>IF(N39="Yes","Continue to the next question.",IF(N39="No","",IF(N39="Choose Y/N"," ")))</f>
        <v xml:space="preserve"> </v>
      </c>
      <c r="O45" s="550"/>
    </row>
    <row r="46" spans="2:15" s="166" customFormat="1" ht="15" customHeight="1" x14ac:dyDescent="0.2">
      <c r="B46" s="217"/>
      <c r="C46" s="217"/>
      <c r="D46" s="217"/>
      <c r="E46" s="217"/>
      <c r="F46" s="217"/>
      <c r="G46" s="217"/>
      <c r="H46" s="217"/>
      <c r="I46" s="217"/>
      <c r="J46" s="217"/>
      <c r="K46" s="217"/>
      <c r="L46" s="217"/>
      <c r="M46" s="217"/>
      <c r="N46" s="550"/>
      <c r="O46" s="550"/>
    </row>
    <row r="47" spans="2:15" s="166" customFormat="1" ht="15" customHeight="1" x14ac:dyDescent="0.2">
      <c r="B47" s="578"/>
      <c r="C47" s="578"/>
      <c r="D47" s="578"/>
      <c r="E47" s="578"/>
      <c r="F47" s="578"/>
      <c r="G47" s="578"/>
      <c r="H47" s="578"/>
      <c r="I47" s="578"/>
      <c r="J47" s="578"/>
      <c r="K47" s="578"/>
      <c r="L47" s="578"/>
      <c r="M47" s="578"/>
      <c r="N47" s="578"/>
      <c r="O47" s="578"/>
    </row>
    <row r="48" spans="2:15" s="166" customFormat="1" ht="15" customHeight="1" x14ac:dyDescent="0.2">
      <c r="B48" s="557" t="s">
        <v>295</v>
      </c>
      <c r="C48" s="557"/>
      <c r="D48" s="557"/>
      <c r="E48" s="557"/>
      <c r="F48" s="557"/>
      <c r="G48" s="557"/>
      <c r="H48" s="557"/>
      <c r="I48" s="557"/>
      <c r="J48" s="557"/>
      <c r="K48" s="557"/>
      <c r="L48" s="557"/>
      <c r="M48" s="557"/>
      <c r="N48" s="558" t="s">
        <v>22</v>
      </c>
      <c r="O48" s="559"/>
    </row>
    <row r="49" spans="2:18" s="166" customFormat="1" ht="15" customHeight="1" x14ac:dyDescent="0.2">
      <c r="B49" s="554" t="s">
        <v>296</v>
      </c>
      <c r="C49" s="554"/>
      <c r="D49" s="554"/>
      <c r="E49" s="554"/>
      <c r="F49" s="554"/>
      <c r="G49" s="554"/>
      <c r="H49" s="554"/>
      <c r="I49" s="554"/>
      <c r="J49" s="554"/>
      <c r="K49" s="554"/>
      <c r="L49" s="554"/>
      <c r="M49" s="554"/>
      <c r="N49" s="565" t="str">
        <f>IF(N48="Yes","Because this NSPS applies to your operation, you need an air permit.",IF(N48="No","Continue to the next question.",IF(N48="Choose Y/N"," "," ")))</f>
        <v xml:space="preserve"> </v>
      </c>
      <c r="O49" s="565"/>
    </row>
    <row r="50" spans="2:18" s="166" customFormat="1" ht="15" customHeight="1" x14ac:dyDescent="0.2">
      <c r="B50" s="167" t="s">
        <v>17</v>
      </c>
      <c r="C50" s="551" t="s">
        <v>297</v>
      </c>
      <c r="D50" s="551"/>
      <c r="E50" s="551"/>
      <c r="F50" s="551"/>
      <c r="G50" s="551"/>
      <c r="H50" s="551"/>
      <c r="I50" s="551"/>
      <c r="J50" s="551"/>
      <c r="K50" s="551"/>
      <c r="L50" s="551"/>
      <c r="M50" s="551"/>
      <c r="N50" s="565"/>
      <c r="O50" s="565"/>
    </row>
    <row r="51" spans="2:18" s="166" customFormat="1" ht="15" customHeight="1" x14ac:dyDescent="0.2">
      <c r="B51" s="582"/>
      <c r="C51" s="582"/>
      <c r="D51" s="582"/>
      <c r="E51" s="582"/>
      <c r="F51" s="582"/>
      <c r="G51" s="582"/>
      <c r="H51" s="582"/>
      <c r="I51" s="582"/>
      <c r="J51" s="582"/>
      <c r="K51" s="582"/>
      <c r="L51" s="582"/>
      <c r="M51" s="582"/>
      <c r="N51" s="565"/>
      <c r="O51" s="565"/>
    </row>
    <row r="52" spans="2:18" s="166" customFormat="1" ht="15" customHeight="1" x14ac:dyDescent="0.2">
      <c r="B52" s="168"/>
      <c r="C52" s="554" t="s">
        <v>364</v>
      </c>
      <c r="D52" s="554"/>
      <c r="E52" s="554"/>
      <c r="F52" s="554"/>
      <c r="G52" s="554"/>
      <c r="H52" s="554"/>
      <c r="I52" s="567" t="s">
        <v>276</v>
      </c>
      <c r="J52" s="567"/>
      <c r="K52" s="567"/>
      <c r="L52" s="567"/>
      <c r="M52" s="567"/>
      <c r="N52" s="565"/>
      <c r="O52" s="565"/>
    </row>
    <row r="53" spans="2:18" s="166" customFormat="1" ht="15" customHeight="1" x14ac:dyDescent="0.2">
      <c r="B53" s="578"/>
      <c r="C53" s="578"/>
      <c r="D53" s="578"/>
      <c r="E53" s="578"/>
      <c r="F53" s="578"/>
      <c r="G53" s="578"/>
      <c r="H53" s="578"/>
      <c r="I53" s="578"/>
      <c r="J53" s="578"/>
      <c r="K53" s="578"/>
      <c r="L53" s="578"/>
      <c r="M53" s="578"/>
      <c r="N53" s="550" t="str">
        <f>IF(N48="Yes","Continue to the next question.",IF(N48="No","",IF(N48="Choose Y/N"," ")))</f>
        <v xml:space="preserve"> </v>
      </c>
      <c r="O53" s="550"/>
    </row>
    <row r="54" spans="2:18" s="166" customFormat="1" ht="15" customHeight="1" x14ac:dyDescent="0.2">
      <c r="B54" s="551" t="s">
        <v>299</v>
      </c>
      <c r="C54" s="551"/>
      <c r="D54" s="551"/>
      <c r="E54" s="551"/>
      <c r="F54" s="551"/>
      <c r="G54" s="551"/>
      <c r="H54" s="551"/>
      <c r="I54" s="551"/>
      <c r="J54" s="551"/>
      <c r="K54" s="551"/>
      <c r="L54" s="551"/>
      <c r="M54" s="551"/>
      <c r="N54" s="550"/>
      <c r="O54" s="550"/>
      <c r="Q54" s="163"/>
      <c r="R54" s="163"/>
    </row>
    <row r="55" spans="2:18" s="166" customFormat="1" ht="15" customHeight="1" x14ac:dyDescent="0.2">
      <c r="B55" s="551"/>
      <c r="C55" s="551"/>
      <c r="D55" s="551"/>
      <c r="E55" s="551"/>
      <c r="F55" s="551"/>
      <c r="G55" s="551"/>
      <c r="H55" s="551"/>
      <c r="I55" s="551"/>
      <c r="J55" s="551"/>
      <c r="K55" s="551"/>
      <c r="L55" s="551"/>
      <c r="M55" s="551"/>
      <c r="N55" s="115"/>
      <c r="O55" s="115"/>
    </row>
    <row r="56" spans="2:18" s="166" customFormat="1" ht="15" customHeight="1" x14ac:dyDescent="0.2">
      <c r="B56" s="582"/>
      <c r="C56" s="582"/>
      <c r="D56" s="582"/>
      <c r="E56" s="582"/>
      <c r="F56" s="582"/>
      <c r="G56" s="582"/>
      <c r="H56" s="582"/>
      <c r="I56" s="582"/>
      <c r="J56" s="582"/>
      <c r="K56" s="582"/>
      <c r="L56" s="582"/>
      <c r="M56" s="582"/>
      <c r="N56" s="582"/>
      <c r="O56" s="582"/>
    </row>
    <row r="57" spans="2:18" s="166" customFormat="1" ht="15" customHeight="1" x14ac:dyDescent="0.2">
      <c r="C57" s="578" t="s">
        <v>283</v>
      </c>
      <c r="D57" s="578"/>
      <c r="E57" s="578"/>
      <c r="F57" s="578"/>
      <c r="G57" s="583" t="s">
        <v>15</v>
      </c>
      <c r="H57" s="583"/>
      <c r="I57" s="583"/>
      <c r="J57" s="583"/>
      <c r="K57" s="583"/>
      <c r="L57" s="583"/>
      <c r="M57" s="583"/>
    </row>
    <row r="58" spans="2:18" s="166" customFormat="1" ht="15" customHeight="1" x14ac:dyDescent="0.2">
      <c r="B58" s="578"/>
      <c r="C58" s="578"/>
      <c r="D58" s="578"/>
      <c r="E58" s="578"/>
      <c r="F58" s="578"/>
      <c r="G58" s="578"/>
      <c r="H58" s="578"/>
      <c r="I58" s="578"/>
      <c r="J58" s="578"/>
      <c r="K58" s="578"/>
      <c r="L58" s="578"/>
      <c r="M58" s="578"/>
      <c r="N58" s="578"/>
      <c r="O58" s="578"/>
    </row>
    <row r="59" spans="2:18" ht="15" customHeight="1" x14ac:dyDescent="0.25">
      <c r="B59" s="578"/>
      <c r="C59" s="578"/>
      <c r="D59" s="578"/>
      <c r="E59" s="578"/>
      <c r="F59" s="578"/>
      <c r="G59" s="578"/>
      <c r="H59" s="578"/>
      <c r="I59" s="578"/>
      <c r="J59" s="578"/>
      <c r="K59" s="578"/>
      <c r="L59" s="578"/>
      <c r="M59" s="578"/>
      <c r="N59" s="578"/>
      <c r="O59" s="578"/>
    </row>
    <row r="60" spans="2:18" ht="15" customHeight="1" x14ac:dyDescent="0.25">
      <c r="B60" s="573" t="s">
        <v>208</v>
      </c>
      <c r="C60" s="573"/>
      <c r="D60" s="573"/>
      <c r="E60" s="573"/>
      <c r="F60" s="573"/>
      <c r="G60" s="573"/>
      <c r="H60" s="573"/>
      <c r="I60" s="573"/>
      <c r="J60" s="573"/>
      <c r="K60" s="573"/>
      <c r="L60" s="573"/>
      <c r="M60" s="573"/>
      <c r="N60" s="573"/>
      <c r="O60" s="573"/>
    </row>
    <row r="61" spans="2:18" s="166" customFormat="1" ht="15" customHeight="1" x14ac:dyDescent="0.2">
      <c r="B61" s="557" t="s">
        <v>234</v>
      </c>
      <c r="C61" s="557"/>
      <c r="D61" s="557"/>
      <c r="E61" s="557"/>
      <c r="F61" s="557"/>
      <c r="G61" s="557"/>
      <c r="H61" s="557"/>
      <c r="I61" s="557"/>
      <c r="J61" s="557"/>
      <c r="K61" s="557"/>
      <c r="L61" s="557"/>
      <c r="M61" s="557"/>
      <c r="N61" s="558" t="s">
        <v>22</v>
      </c>
      <c r="O61" s="559"/>
    </row>
    <row r="62" spans="2:18" s="166" customFormat="1" ht="15" customHeight="1" x14ac:dyDescent="0.2">
      <c r="B62" s="554" t="s">
        <v>258</v>
      </c>
      <c r="C62" s="554"/>
      <c r="D62" s="554"/>
      <c r="E62" s="554"/>
      <c r="F62" s="554"/>
      <c r="G62" s="554"/>
      <c r="H62" s="554"/>
      <c r="I62" s="554"/>
      <c r="J62" s="554"/>
      <c r="K62" s="554"/>
      <c r="L62" s="554"/>
      <c r="M62" s="554"/>
      <c r="N62" s="565" t="str">
        <f>IF(N61="Yes","Follow NESHAP requirements. Assess emissions for permit thresholds.",IF(N61="No","Continue to the next blue tab.",IF(N61="Choose Y/N"," "," ")))</f>
        <v xml:space="preserve"> </v>
      </c>
      <c r="O62" s="565"/>
    </row>
    <row r="63" spans="2:18" s="166" customFormat="1" ht="15" customHeight="1" x14ac:dyDescent="0.2">
      <c r="B63" s="167"/>
      <c r="C63" s="554" t="s">
        <v>204</v>
      </c>
      <c r="D63" s="554"/>
      <c r="E63" s="554"/>
      <c r="F63" s="554"/>
      <c r="G63" s="554"/>
      <c r="H63" s="554"/>
      <c r="I63" s="167" t="s">
        <v>195</v>
      </c>
      <c r="J63" s="569" t="s">
        <v>205</v>
      </c>
      <c r="K63" s="569"/>
      <c r="L63" s="569"/>
      <c r="M63" s="569"/>
      <c r="N63" s="565"/>
      <c r="O63" s="565"/>
    </row>
    <row r="64" spans="2:18" s="166" customFormat="1" ht="15" customHeight="1" x14ac:dyDescent="0.2">
      <c r="B64" s="171"/>
      <c r="C64" s="554" t="s">
        <v>209</v>
      </c>
      <c r="D64" s="554"/>
      <c r="E64" s="554"/>
      <c r="F64" s="554"/>
      <c r="G64" s="554"/>
      <c r="H64" s="554"/>
      <c r="I64" s="554"/>
      <c r="J64" s="554"/>
      <c r="K64" s="554"/>
      <c r="L64" s="554"/>
      <c r="M64" s="554"/>
      <c r="N64" s="565"/>
      <c r="O64" s="565"/>
    </row>
    <row r="65" spans="2:15" s="166" customFormat="1" ht="15" customHeight="1" x14ac:dyDescent="0.2">
      <c r="B65" s="170"/>
      <c r="C65" s="563" t="s">
        <v>666</v>
      </c>
      <c r="D65" s="570"/>
      <c r="E65" s="570"/>
      <c r="F65" s="570"/>
      <c r="G65" s="570"/>
      <c r="H65" s="570"/>
      <c r="I65" s="570"/>
      <c r="J65" s="570"/>
      <c r="K65" s="570"/>
      <c r="L65" s="570"/>
      <c r="M65" s="570"/>
      <c r="N65" s="565"/>
      <c r="O65" s="565"/>
    </row>
    <row r="66" spans="2:15" s="166" customFormat="1" ht="15" customHeight="1" x14ac:dyDescent="0.2">
      <c r="B66" s="578"/>
      <c r="C66" s="578"/>
      <c r="D66" s="578"/>
      <c r="E66" s="578"/>
      <c r="F66" s="578"/>
      <c r="G66" s="578"/>
      <c r="H66" s="578"/>
      <c r="I66" s="578"/>
      <c r="J66" s="578"/>
      <c r="K66" s="578"/>
      <c r="L66" s="578"/>
      <c r="M66" s="578"/>
      <c r="N66" s="550" t="str">
        <f>IF(N61="Yes","Continue to the next blue tab.",IF(N61="No","",IF(N61="Choose Y/N"," ")))</f>
        <v xml:space="preserve"> </v>
      </c>
      <c r="O66" s="550"/>
    </row>
    <row r="67" spans="2:15" s="166" customFormat="1" ht="15" customHeight="1" x14ac:dyDescent="0.2">
      <c r="B67" s="115"/>
      <c r="C67" s="554" t="s">
        <v>257</v>
      </c>
      <c r="D67" s="554"/>
      <c r="E67" s="554"/>
      <c r="F67" s="554"/>
      <c r="G67" s="554"/>
      <c r="H67" s="554"/>
      <c r="I67" s="554"/>
      <c r="J67" s="554"/>
      <c r="K67" s="554"/>
      <c r="L67" s="554"/>
      <c r="M67" s="554"/>
      <c r="N67" s="550"/>
      <c r="O67" s="550"/>
    </row>
    <row r="68" spans="2:15" s="166" customFormat="1" ht="15" customHeight="1" x14ac:dyDescent="0.2">
      <c r="B68" s="168"/>
      <c r="C68" s="580" t="s">
        <v>667</v>
      </c>
      <c r="D68" s="581"/>
      <c r="E68" s="581"/>
      <c r="F68" s="581"/>
      <c r="G68" s="581"/>
      <c r="H68" s="581"/>
      <c r="I68" s="581"/>
      <c r="J68" s="581"/>
      <c r="K68" s="581"/>
      <c r="L68" s="581"/>
      <c r="M68" s="581"/>
      <c r="N68" s="550"/>
      <c r="O68" s="550"/>
    </row>
    <row r="69" spans="2:15" s="166" customFormat="1" ht="15" customHeight="1" x14ac:dyDescent="0.2">
      <c r="B69" s="168"/>
      <c r="C69" s="168"/>
      <c r="D69" s="168"/>
      <c r="E69" s="168"/>
      <c r="F69" s="168"/>
      <c r="G69" s="168"/>
      <c r="H69" s="168"/>
      <c r="I69" s="168"/>
      <c r="J69" s="168"/>
      <c r="K69" s="168"/>
      <c r="L69" s="168"/>
      <c r="M69" s="168"/>
      <c r="N69" s="168"/>
      <c r="O69" s="168"/>
    </row>
    <row r="70" spans="2:15" s="166" customFormat="1" ht="15" customHeight="1" x14ac:dyDescent="0.2">
      <c r="B70" s="168"/>
      <c r="C70" s="168"/>
      <c r="D70" s="168"/>
      <c r="E70" s="168"/>
      <c r="F70" s="168"/>
      <c r="G70" s="168"/>
      <c r="H70" s="168"/>
      <c r="I70" s="168"/>
      <c r="J70" s="168"/>
      <c r="K70" s="168"/>
      <c r="L70" s="168"/>
      <c r="M70" s="168"/>
      <c r="N70" s="168"/>
      <c r="O70" s="168"/>
    </row>
    <row r="71" spans="2:15" x14ac:dyDescent="0.25">
      <c r="B71" s="573" t="s">
        <v>368</v>
      </c>
      <c r="C71" s="573"/>
      <c r="D71" s="573"/>
      <c r="E71" s="573"/>
      <c r="F71" s="573"/>
      <c r="G71" s="573"/>
      <c r="H71" s="573"/>
      <c r="I71" s="573"/>
      <c r="J71" s="573"/>
      <c r="K71" s="573"/>
      <c r="L71" s="573"/>
      <c r="M71" s="573"/>
      <c r="N71" s="573"/>
      <c r="O71" s="573"/>
    </row>
    <row r="72" spans="2:15" s="166" customFormat="1" ht="15" customHeight="1" x14ac:dyDescent="0.2">
      <c r="B72" s="577" t="s">
        <v>259</v>
      </c>
      <c r="C72" s="577"/>
      <c r="D72" s="577"/>
      <c r="E72" s="577"/>
      <c r="F72" s="577"/>
      <c r="G72" s="577"/>
      <c r="H72" s="577"/>
      <c r="I72" s="577"/>
      <c r="J72" s="577"/>
      <c r="K72" s="577"/>
      <c r="L72" s="577"/>
      <c r="M72" s="577"/>
      <c r="N72" s="577"/>
      <c r="O72" s="577"/>
    </row>
    <row r="73" spans="2:15" s="166" customFormat="1" ht="15" customHeight="1" x14ac:dyDescent="0.2">
      <c r="B73" s="577"/>
      <c r="C73" s="577"/>
      <c r="D73" s="577"/>
      <c r="E73" s="577"/>
      <c r="F73" s="577"/>
      <c r="G73" s="577"/>
      <c r="H73" s="577"/>
      <c r="I73" s="577"/>
      <c r="J73" s="577"/>
      <c r="K73" s="577"/>
      <c r="L73" s="577"/>
      <c r="M73" s="577"/>
      <c r="N73" s="577"/>
      <c r="O73" s="577"/>
    </row>
    <row r="74" spans="2:15" s="166" customFormat="1" ht="15" customHeight="1" x14ac:dyDescent="0.2">
      <c r="B74" s="161" t="s">
        <v>230</v>
      </c>
      <c r="C74" s="577" t="s">
        <v>260</v>
      </c>
      <c r="D74" s="577"/>
      <c r="E74" s="577"/>
      <c r="F74" s="577"/>
      <c r="G74" s="577"/>
      <c r="H74" s="577"/>
      <c r="I74" s="577"/>
      <c r="J74" s="577"/>
      <c r="K74" s="577"/>
      <c r="L74" s="577"/>
      <c r="M74" s="577"/>
      <c r="N74" s="577"/>
      <c r="O74" s="577"/>
    </row>
    <row r="75" spans="2:15" s="166" customFormat="1" ht="15" customHeight="1" x14ac:dyDescent="0.2">
      <c r="B75" s="572" t="s">
        <v>230</v>
      </c>
      <c r="C75" s="577" t="s">
        <v>261</v>
      </c>
      <c r="D75" s="577"/>
      <c r="E75" s="577"/>
      <c r="F75" s="577"/>
      <c r="G75" s="577"/>
      <c r="H75" s="577"/>
      <c r="I75" s="577"/>
      <c r="J75" s="577"/>
      <c r="K75" s="577"/>
      <c r="L75" s="577"/>
      <c r="M75" s="577"/>
      <c r="N75" s="577"/>
      <c r="O75" s="577"/>
    </row>
    <row r="76" spans="2:15" s="166" customFormat="1" ht="15" customHeight="1" x14ac:dyDescent="0.2">
      <c r="B76" s="572"/>
      <c r="C76" s="577"/>
      <c r="D76" s="577"/>
      <c r="E76" s="577"/>
      <c r="F76" s="577"/>
      <c r="G76" s="577"/>
      <c r="H76" s="577"/>
      <c r="I76" s="577"/>
      <c r="J76" s="577"/>
      <c r="K76" s="577"/>
      <c r="L76" s="577"/>
      <c r="M76" s="577"/>
      <c r="N76" s="577"/>
      <c r="O76" s="577"/>
    </row>
    <row r="77" spans="2:15" s="166" customFormat="1" ht="15" customHeight="1" x14ac:dyDescent="0.2">
      <c r="B77" s="161" t="s">
        <v>230</v>
      </c>
      <c r="C77" s="577" t="s">
        <v>232</v>
      </c>
      <c r="D77" s="577"/>
      <c r="E77" s="577"/>
      <c r="F77" s="577"/>
      <c r="G77" s="577"/>
      <c r="H77" s="577"/>
      <c r="I77" s="577"/>
      <c r="J77" s="577"/>
      <c r="K77" s="577"/>
      <c r="L77" s="577"/>
      <c r="M77" s="577"/>
      <c r="N77" s="577"/>
      <c r="O77" s="577"/>
    </row>
    <row r="78" spans="2:15" s="166" customFormat="1" ht="15" customHeight="1" x14ac:dyDescent="0.2">
      <c r="B78" s="574"/>
      <c r="C78" s="574"/>
      <c r="D78" s="574"/>
      <c r="E78" s="574"/>
      <c r="F78" s="574"/>
      <c r="G78" s="574"/>
      <c r="H78" s="574"/>
      <c r="I78" s="574"/>
      <c r="J78" s="574"/>
      <c r="K78" s="574"/>
      <c r="L78" s="574"/>
      <c r="M78" s="574"/>
      <c r="N78" s="574"/>
      <c r="O78" s="574"/>
    </row>
    <row r="79" spans="2:15" s="166" customFormat="1" ht="15" customHeight="1" x14ac:dyDescent="0.2">
      <c r="B79" s="575" t="s">
        <v>88</v>
      </c>
      <c r="C79" s="575"/>
      <c r="D79" s="575"/>
      <c r="E79" s="575"/>
      <c r="F79" s="575"/>
      <c r="G79" s="575"/>
      <c r="H79" s="575"/>
      <c r="I79" s="576" t="s">
        <v>90</v>
      </c>
      <c r="J79" s="576"/>
      <c r="K79" s="571" t="s">
        <v>89</v>
      </c>
      <c r="L79" s="571"/>
      <c r="M79" s="571"/>
      <c r="N79" s="569" t="s">
        <v>91</v>
      </c>
      <c r="O79" s="569"/>
    </row>
    <row r="80" spans="2:15" s="166" customFormat="1" ht="15" customHeight="1" x14ac:dyDescent="0.2">
      <c r="B80" s="571"/>
      <c r="C80" s="571"/>
      <c r="D80" s="571"/>
      <c r="E80" s="571"/>
      <c r="F80" s="571"/>
      <c r="G80" s="571"/>
      <c r="H80" s="571"/>
      <c r="I80" s="571"/>
      <c r="J80" s="571"/>
      <c r="K80" s="571"/>
      <c r="L80" s="571"/>
      <c r="M80" s="571"/>
      <c r="N80" s="571"/>
      <c r="O80" s="571"/>
    </row>
    <row r="81" spans="2:15" s="166" customFormat="1" ht="15" customHeight="1" x14ac:dyDescent="0.2">
      <c r="B81" s="115"/>
      <c r="C81" s="115"/>
      <c r="D81" s="115"/>
      <c r="E81" s="115"/>
      <c r="F81" s="115"/>
      <c r="G81" s="115"/>
      <c r="H81" s="115"/>
      <c r="I81" s="115"/>
      <c r="J81" s="115"/>
      <c r="K81" s="115"/>
      <c r="L81" s="115"/>
      <c r="M81" s="115"/>
      <c r="N81" s="115"/>
      <c r="O81" s="115"/>
    </row>
    <row r="82" spans="2:15" ht="15" customHeight="1" x14ac:dyDescent="0.25">
      <c r="B82" s="112"/>
      <c r="C82" s="112"/>
      <c r="D82" s="112"/>
      <c r="E82" s="112"/>
      <c r="F82" s="112"/>
      <c r="G82" s="112"/>
      <c r="H82" s="112"/>
      <c r="I82" s="112"/>
      <c r="J82" s="112"/>
      <c r="K82" s="112"/>
      <c r="L82" s="112"/>
      <c r="M82" s="112"/>
      <c r="N82" s="112"/>
      <c r="O82" s="112"/>
    </row>
    <row r="83" spans="2:15" x14ac:dyDescent="0.25">
      <c r="B83" s="112"/>
      <c r="C83" s="112"/>
      <c r="D83" s="112"/>
      <c r="E83" s="112"/>
      <c r="F83" s="112"/>
      <c r="G83" s="112"/>
      <c r="H83" s="112"/>
      <c r="I83" s="112"/>
      <c r="J83" s="112"/>
      <c r="K83" s="112"/>
      <c r="L83" s="112"/>
      <c r="M83" s="112"/>
      <c r="N83" s="112"/>
      <c r="O83" s="112"/>
    </row>
    <row r="98" hidden="1" x14ac:dyDescent="0.25"/>
  </sheetData>
  <protectedRanges>
    <protectedRange sqref="A80:O258 P1:P1048576 S1:BT1048576 Q1:R33 Q36:R44 Q47:R1048576" name="Writing"/>
    <protectedRange sqref="N16 N29 N39 N48 N61" name="FedStandard"/>
  </protectedRanges>
  <mergeCells count="91">
    <mergeCell ref="B8:B9"/>
    <mergeCell ref="C20:M20"/>
    <mergeCell ref="B17:M18"/>
    <mergeCell ref="B21:M23"/>
    <mergeCell ref="E25:G25"/>
    <mergeCell ref="N21:O22"/>
    <mergeCell ref="B14:O14"/>
    <mergeCell ref="B24:M24"/>
    <mergeCell ref="B15:O15"/>
    <mergeCell ref="B51:M51"/>
    <mergeCell ref="N49:O52"/>
    <mergeCell ref="I52:M52"/>
    <mergeCell ref="B49:M49"/>
    <mergeCell ref="C52:H52"/>
    <mergeCell ref="B47:O47"/>
    <mergeCell ref="B37:O37"/>
    <mergeCell ref="B38:O38"/>
    <mergeCell ref="B27:O27"/>
    <mergeCell ref="B28:O28"/>
    <mergeCell ref="N40:O44"/>
    <mergeCell ref="I45:L45"/>
    <mergeCell ref="B53:M53"/>
    <mergeCell ref="B54:M55"/>
    <mergeCell ref="C67:M67"/>
    <mergeCell ref="C68:M68"/>
    <mergeCell ref="B66:M66"/>
    <mergeCell ref="B58:O58"/>
    <mergeCell ref="B59:O59"/>
    <mergeCell ref="B56:O56"/>
    <mergeCell ref="N66:O68"/>
    <mergeCell ref="B60:O60"/>
    <mergeCell ref="N61:O61"/>
    <mergeCell ref="B62:M62"/>
    <mergeCell ref="C57:F57"/>
    <mergeCell ref="G57:M57"/>
    <mergeCell ref="N62:O65"/>
    <mergeCell ref="C63:H63"/>
    <mergeCell ref="B44:M44"/>
    <mergeCell ref="C41:M41"/>
    <mergeCell ref="C42:M42"/>
    <mergeCell ref="N30:O34"/>
    <mergeCell ref="B29:M29"/>
    <mergeCell ref="N29:O29"/>
    <mergeCell ref="J63:M63"/>
    <mergeCell ref="B61:M61"/>
    <mergeCell ref="C64:M64"/>
    <mergeCell ref="C65:M65"/>
    <mergeCell ref="B80:O80"/>
    <mergeCell ref="B75:B76"/>
    <mergeCell ref="B71:O71"/>
    <mergeCell ref="B78:O78"/>
    <mergeCell ref="B79:H79"/>
    <mergeCell ref="I79:J79"/>
    <mergeCell ref="K79:M79"/>
    <mergeCell ref="N79:O79"/>
    <mergeCell ref="B72:O73"/>
    <mergeCell ref="C74:O74"/>
    <mergeCell ref="C75:O76"/>
    <mergeCell ref="C77:O77"/>
    <mergeCell ref="B1:O1"/>
    <mergeCell ref="C35:M35"/>
    <mergeCell ref="B39:M39"/>
    <mergeCell ref="N39:O39"/>
    <mergeCell ref="B40:M40"/>
    <mergeCell ref="N16:O16"/>
    <mergeCell ref="B16:M16"/>
    <mergeCell ref="N17:O20"/>
    <mergeCell ref="B2:O2"/>
    <mergeCell ref="C19:M19"/>
    <mergeCell ref="E26:I26"/>
    <mergeCell ref="C34:M34"/>
    <mergeCell ref="B36:M36"/>
    <mergeCell ref="N35:O36"/>
    <mergeCell ref="C8:N10"/>
    <mergeCell ref="C11:N13"/>
    <mergeCell ref="N53:O54"/>
    <mergeCell ref="C50:M50"/>
    <mergeCell ref="B3:O3"/>
    <mergeCell ref="B4:H6"/>
    <mergeCell ref="B30:M30"/>
    <mergeCell ref="C31:H31"/>
    <mergeCell ref="J31:M31"/>
    <mergeCell ref="C32:I32"/>
    <mergeCell ref="J32:M32"/>
    <mergeCell ref="B33:M33"/>
    <mergeCell ref="N45:O46"/>
    <mergeCell ref="I4:O6"/>
    <mergeCell ref="B48:M48"/>
    <mergeCell ref="N48:O48"/>
    <mergeCell ref="C7:N7"/>
    <mergeCell ref="O7:O12"/>
  </mergeCells>
  <conditionalFormatting sqref="N30">
    <cfRule type="containsText" dxfId="46" priority="7" operator="containsText" text="continue">
      <formula>NOT(ISERROR(SEARCH("continue",N30)))</formula>
    </cfRule>
  </conditionalFormatting>
  <conditionalFormatting sqref="N40">
    <cfRule type="containsText" dxfId="45" priority="8" operator="containsText" text="continue">
      <formula>NOT(ISERROR(SEARCH("continue",N40)))</formula>
    </cfRule>
  </conditionalFormatting>
  <conditionalFormatting sqref="N17:O20">
    <cfRule type="containsText" dxfId="44" priority="6" operator="containsText" text="continue">
      <formula>NOT(ISERROR(SEARCH("continue",N17)))</formula>
    </cfRule>
  </conditionalFormatting>
  <conditionalFormatting sqref="N49:O52">
    <cfRule type="containsText" dxfId="43" priority="9" operator="containsText" text="continue">
      <formula>NOT(ISERROR(SEARCH("continue",N49)))</formula>
    </cfRule>
  </conditionalFormatting>
  <conditionalFormatting sqref="N62:O65">
    <cfRule type="containsText" dxfId="42" priority="5" operator="containsText" text="continue">
      <formula>NOT(ISERROR(SEARCH("continue",N62)))</formula>
    </cfRule>
  </conditionalFormatting>
  <hyperlinks>
    <hyperlink ref="E26" r:id="rId1" xr:uid="{00000000-0004-0000-0100-000000000000}"/>
    <hyperlink ref="C35" r:id="rId2" xr:uid="{00000000-0004-0000-0100-000001000000}"/>
    <hyperlink ref="J31" r:id="rId3" xr:uid="{00000000-0004-0000-0100-000002000000}"/>
    <hyperlink ref="J32" r:id="rId4" xr:uid="{00000000-0004-0000-0100-000003000000}"/>
    <hyperlink ref="I45" r:id="rId5" display="40 CFR pt. 60, subp. OOO" xr:uid="{00000000-0004-0000-0100-000004000000}"/>
    <hyperlink ref="J63" r:id="rId6" xr:uid="{00000000-0004-0000-0100-000005000000}"/>
    <hyperlink ref="E25" r:id="rId7" location="additional-resources" xr:uid="{00000000-0004-0000-0100-000006000000}"/>
    <hyperlink ref="C68" r:id="rId8" xr:uid="{00000000-0004-0000-0100-000007000000}"/>
    <hyperlink ref="I79" r:id="rId9" xr:uid="{00000000-0004-0000-0100-000008000000}"/>
    <hyperlink ref="N79:O79" r:id="rId10" display="40 CFR § 60.15" xr:uid="{00000000-0004-0000-0100-000009000000}"/>
    <hyperlink ref="C65" r:id="rId11" xr:uid="{00000000-0004-0000-0100-00000A000000}"/>
    <hyperlink ref="I52" r:id="rId12" display="40 CFR pt. 60, subp. OOO" xr:uid="{00000000-0004-0000-0100-00000B000000}"/>
    <hyperlink ref="I52:M52" r:id="rId13" display="40 CFR pt. 60, subp. UUU" xr:uid="{00000000-0004-0000-0100-00000C000000}"/>
    <hyperlink ref="G57" r:id="rId14" xr:uid="{00000000-0004-0000-0100-00000D000000}"/>
    <hyperlink ref="E25:G25" r:id="rId15" display="EPA Rule information" xr:uid="{00000000-0004-0000-0100-00000E000000}"/>
  </hyperlinks>
  <pageMargins left="0.25" right="0.25" top="0.75" bottom="0.75" header="0.3" footer="0.3"/>
  <pageSetup scale="99" fitToHeight="0" orientation="landscape" verticalDpi="1200" r:id="rId16"/>
  <headerFooter>
    <oddFooter>&amp;L&amp;"Arial,Italic"&amp;8p-sbap5-30&amp;C&amp;"Arial,Italic"&amp;8https://www.pca.state.mn.us  •  Available in alternative formats  •  Use your preferred relay service&amp;R&amp;10Page &amp;P of &amp;N</oddFooter>
    <firstFooter>&amp;L&amp;10Grain and Commodity Calculator - Instructions&amp;R&amp;10&amp;P</firstFooter>
  </headerFooter>
  <rowBreaks count="2" manualBreakCount="2">
    <brk id="28" min="1" max="14" man="1"/>
    <brk id="59" min="1" max="14" man="1"/>
  </rowBreaks>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Title="Incorrect Entry" error="Please choose &quot;yes&quot; or &quot;no&quot; from the drop down list._x000a__x000a_----&gt; Press CANCEL" xr:uid="{00000000-0002-0000-0100-000000000000}">
          <x14:formula1>
            <xm:f>'Data validation'!$C$6:$C$8</xm:f>
          </x14:formula1>
          <xm:sqref>N16:O16 N48:O48 N29:O29 N39:O39 N61:O61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D1EAFF"/>
    <pageSetUpPr fitToPage="1"/>
  </sheetPr>
  <dimension ref="B1:Y47"/>
  <sheetViews>
    <sheetView showGridLines="0" zoomScaleNormal="100" zoomScaleSheetLayoutView="100" workbookViewId="0">
      <selection activeCell="N30" sqref="N30:O30"/>
    </sheetView>
  </sheetViews>
  <sheetFormatPr defaultColWidth="9.140625" defaultRowHeight="15" x14ac:dyDescent="0.25"/>
  <cols>
    <col min="1" max="1" width="3.28515625" style="143" customWidth="1"/>
    <col min="2" max="15" width="9.7109375" style="143" customWidth="1"/>
    <col min="16" max="16384" width="9.140625" style="143"/>
  </cols>
  <sheetData>
    <row r="1" spans="2:17" x14ac:dyDescent="0.25">
      <c r="B1" s="590" t="str">
        <f>Instructions!G2</f>
        <v>p-sbap5-30 • 7/31/25</v>
      </c>
      <c r="C1" s="590"/>
      <c r="D1" s="590"/>
      <c r="E1" s="590"/>
      <c r="F1" s="590"/>
      <c r="G1" s="590"/>
      <c r="H1" s="590"/>
      <c r="I1" s="590"/>
      <c r="J1" s="590"/>
      <c r="K1" s="590"/>
      <c r="L1" s="590"/>
      <c r="M1" s="590"/>
      <c r="N1" s="590"/>
      <c r="O1" s="590"/>
    </row>
    <row r="2" spans="2:17" ht="19.5" thickBot="1" x14ac:dyDescent="0.3">
      <c r="B2" s="591" t="s">
        <v>374</v>
      </c>
      <c r="C2" s="591"/>
      <c r="D2" s="591"/>
      <c r="E2" s="591"/>
      <c r="F2" s="591"/>
      <c r="G2" s="591"/>
      <c r="H2" s="591"/>
      <c r="I2" s="591"/>
      <c r="J2" s="591"/>
      <c r="K2" s="591"/>
      <c r="L2" s="591"/>
      <c r="M2" s="591"/>
      <c r="N2" s="591"/>
      <c r="O2" s="591"/>
    </row>
    <row r="3" spans="2:17" x14ac:dyDescent="0.25">
      <c r="B3" s="594" t="s">
        <v>365</v>
      </c>
      <c r="C3" s="594"/>
      <c r="D3" s="594"/>
      <c r="E3" s="594"/>
      <c r="F3" s="594"/>
      <c r="G3" s="594"/>
      <c r="H3" s="594"/>
      <c r="I3" s="594"/>
      <c r="J3" s="594"/>
      <c r="K3" s="594"/>
      <c r="L3" s="594"/>
      <c r="M3" s="594"/>
      <c r="N3" s="594"/>
      <c r="O3" s="594"/>
    </row>
    <row r="4" spans="2:17" ht="15" customHeight="1" x14ac:dyDescent="0.25">
      <c r="B4" s="147" t="s">
        <v>17</v>
      </c>
      <c r="C4" s="589" t="s">
        <v>444</v>
      </c>
      <c r="D4" s="589"/>
      <c r="E4" s="589"/>
      <c r="F4" s="589"/>
      <c r="G4" s="589"/>
      <c r="H4" s="589"/>
      <c r="I4" s="589"/>
      <c r="J4" s="589"/>
      <c r="K4" s="589"/>
      <c r="L4" s="610" t="s">
        <v>381</v>
      </c>
      <c r="M4" s="610"/>
      <c r="N4" s="115"/>
    </row>
    <row r="5" spans="2:17" x14ac:dyDescent="0.25">
      <c r="B5" s="147" t="s">
        <v>18</v>
      </c>
      <c r="C5" s="589" t="s">
        <v>288</v>
      </c>
      <c r="D5" s="589"/>
      <c r="E5" s="589"/>
      <c r="F5" s="589"/>
      <c r="G5" s="589"/>
      <c r="H5" s="589"/>
      <c r="I5" s="589"/>
      <c r="J5" s="589"/>
      <c r="K5" s="589"/>
      <c r="L5" s="589"/>
      <c r="M5" s="589"/>
      <c r="N5" s="589"/>
      <c r="O5" s="589"/>
      <c r="P5" s="112"/>
    </row>
    <row r="6" spans="2:17" x14ac:dyDescent="0.25">
      <c r="B6" s="147"/>
      <c r="C6" s="148"/>
      <c r="D6" s="148"/>
      <c r="E6" s="148"/>
      <c r="F6" s="148"/>
      <c r="G6" s="148"/>
      <c r="H6" s="148"/>
      <c r="I6" s="148"/>
      <c r="J6" s="148"/>
      <c r="K6" s="148"/>
      <c r="L6" s="148"/>
      <c r="M6" s="148"/>
      <c r="N6" s="148"/>
      <c r="O6" s="148"/>
      <c r="P6" s="112"/>
    </row>
    <row r="7" spans="2:17" x14ac:dyDescent="0.25">
      <c r="B7" s="595" t="s">
        <v>289</v>
      </c>
      <c r="C7" s="595"/>
      <c r="D7" s="595"/>
      <c r="E7" s="595"/>
      <c r="F7" s="595"/>
      <c r="G7" s="595"/>
      <c r="H7" s="595"/>
      <c r="I7" s="595"/>
      <c r="J7" s="595"/>
      <c r="K7" s="595"/>
      <c r="L7" s="595"/>
      <c r="M7" s="595"/>
      <c r="N7" s="595"/>
      <c r="O7" s="595"/>
      <c r="P7" s="112"/>
    </row>
    <row r="8" spans="2:17" x14ac:dyDescent="0.25">
      <c r="B8" s="149"/>
      <c r="C8" s="149"/>
      <c r="D8" s="150"/>
      <c r="E8" s="593" t="str">
        <f>IF('Federal standards'!$N$16="Yes","NSPS OOO"," ")</f>
        <v xml:space="preserve"> </v>
      </c>
      <c r="F8" s="593"/>
      <c r="G8" s="593" t="str">
        <f>IF('Federal standards'!$N$29="Yes","NSPS IIII or JJJJ"," ")</f>
        <v xml:space="preserve"> </v>
      </c>
      <c r="H8" s="593"/>
      <c r="I8" s="151" t="str">
        <f>IF('Federal standards'!$N$39="Yes","NSPS Kb"," ")</f>
        <v xml:space="preserve"> </v>
      </c>
      <c r="J8" s="593" t="str">
        <f>IF('Federal standards'!$N$48="Yes","NSPS UUU/other NSPS"," ")</f>
        <v xml:space="preserve"> </v>
      </c>
      <c r="K8" s="593"/>
      <c r="L8" s="593"/>
      <c r="M8" s="152"/>
      <c r="N8" s="152"/>
      <c r="O8" s="152"/>
    </row>
    <row r="9" spans="2:17" x14ac:dyDescent="0.25">
      <c r="B9" s="611" t="str">
        <f>IF(OR('Federal standards'!$N$16="Choose Y/N",OR('Federal standards'!$N$29="Choose Y/N",OR('Federal standards'!$N$39="Choose Y/N",'Federal standards'!$N$48="Choose Y/N"))),"Return to the federal standards tab and answer all Y/N questions."," ")</f>
        <v>Return to the federal standards tab and answer all Y/N questions.</v>
      </c>
      <c r="C9" s="611"/>
      <c r="D9" s="611"/>
      <c r="E9" s="611"/>
      <c r="F9" s="611"/>
      <c r="G9" s="611"/>
      <c r="H9" s="611"/>
      <c r="I9" s="611"/>
      <c r="J9" s="611"/>
      <c r="K9" s="611"/>
      <c r="L9" s="611"/>
      <c r="M9" s="611"/>
      <c r="N9" s="611"/>
      <c r="O9" s="611"/>
      <c r="P9" s="153"/>
      <c r="Q9" s="153"/>
    </row>
    <row r="10" spans="2:17" x14ac:dyDescent="0.25">
      <c r="B10" s="609"/>
      <c r="C10" s="609"/>
      <c r="D10" s="609"/>
      <c r="E10" s="609"/>
      <c r="F10" s="609"/>
      <c r="G10" s="609"/>
      <c r="H10" s="609"/>
      <c r="I10" s="609"/>
      <c r="J10" s="609"/>
      <c r="K10" s="609"/>
      <c r="L10" s="609"/>
      <c r="M10" s="609"/>
      <c r="N10" s="609"/>
      <c r="O10" s="609"/>
      <c r="P10" s="154"/>
      <c r="Q10" s="154"/>
    </row>
    <row r="11" spans="2:17" x14ac:dyDescent="0.25">
      <c r="C11" s="596" t="s">
        <v>362</v>
      </c>
      <c r="D11" s="596"/>
      <c r="E11" s="596"/>
      <c r="F11" s="596" t="s">
        <v>361</v>
      </c>
      <c r="G11" s="596"/>
      <c r="H11" s="596"/>
      <c r="I11" s="596"/>
      <c r="J11" s="596"/>
      <c r="K11" s="596"/>
      <c r="L11" s="596"/>
      <c r="M11" s="596"/>
      <c r="N11" s="596"/>
      <c r="O11" s="155"/>
      <c r="P11" s="154"/>
      <c r="Q11" s="154"/>
    </row>
    <row r="12" spans="2:17" ht="15" customHeight="1" x14ac:dyDescent="0.25">
      <c r="B12" s="156"/>
      <c r="C12" s="599" t="s">
        <v>363</v>
      </c>
      <c r="D12" s="599"/>
      <c r="E12" s="600"/>
      <c r="F12" s="612" t="s">
        <v>380</v>
      </c>
      <c r="G12" s="599"/>
      <c r="H12" s="599"/>
      <c r="I12" s="599"/>
      <c r="J12" s="599"/>
      <c r="K12" s="599"/>
      <c r="L12" s="599"/>
      <c r="M12" s="599"/>
      <c r="N12" s="599"/>
      <c r="O12" s="157"/>
      <c r="P12" s="154"/>
      <c r="Q12" s="154"/>
    </row>
    <row r="13" spans="2:17" x14ac:dyDescent="0.25">
      <c r="B13" s="158"/>
      <c r="C13" s="601"/>
      <c r="D13" s="601"/>
      <c r="E13" s="602"/>
      <c r="F13" s="613"/>
      <c r="G13" s="601"/>
      <c r="H13" s="601"/>
      <c r="I13" s="601"/>
      <c r="J13" s="601"/>
      <c r="K13" s="601"/>
      <c r="L13" s="601"/>
      <c r="M13" s="601"/>
      <c r="N13" s="601"/>
      <c r="O13" s="157"/>
      <c r="P13" s="154"/>
      <c r="Q13" s="154"/>
    </row>
    <row r="14" spans="2:17" x14ac:dyDescent="0.25">
      <c r="B14" s="159"/>
      <c r="C14" s="603"/>
      <c r="D14" s="603"/>
      <c r="E14" s="604"/>
      <c r="F14" s="614"/>
      <c r="G14" s="603"/>
      <c r="H14" s="603"/>
      <c r="I14" s="603"/>
      <c r="J14" s="603"/>
      <c r="K14" s="603"/>
      <c r="L14" s="603"/>
      <c r="M14" s="603"/>
      <c r="N14" s="603"/>
      <c r="O14" s="159"/>
    </row>
    <row r="15" spans="2:17" ht="15" customHeight="1" x14ac:dyDescent="0.25">
      <c r="B15" s="148"/>
      <c r="C15" s="605" t="s">
        <v>379</v>
      </c>
      <c r="D15" s="605"/>
      <c r="E15" s="606"/>
      <c r="F15" s="615" t="s">
        <v>377</v>
      </c>
      <c r="G15" s="605"/>
      <c r="H15" s="605"/>
      <c r="I15" s="605"/>
      <c r="J15" s="605"/>
      <c r="K15" s="605"/>
      <c r="L15" s="605"/>
      <c r="M15" s="605"/>
      <c r="N15" s="605"/>
      <c r="O15" s="148"/>
    </row>
    <row r="16" spans="2:17" ht="15" customHeight="1" x14ac:dyDescent="0.25">
      <c r="B16" s="148"/>
      <c r="C16" s="597"/>
      <c r="D16" s="597"/>
      <c r="E16" s="598"/>
      <c r="F16" s="616"/>
      <c r="G16" s="597"/>
      <c r="H16" s="597"/>
      <c r="I16" s="597"/>
      <c r="J16" s="597"/>
      <c r="K16" s="597"/>
      <c r="L16" s="597"/>
      <c r="M16" s="597"/>
      <c r="N16" s="597"/>
      <c r="O16" s="148"/>
    </row>
    <row r="17" spans="2:25" ht="15" customHeight="1" x14ac:dyDescent="0.25">
      <c r="B17" s="148"/>
      <c r="C17" s="597"/>
      <c r="D17" s="597"/>
      <c r="E17" s="598"/>
      <c r="F17" s="161" t="s">
        <v>230</v>
      </c>
      <c r="G17" s="589" t="s">
        <v>371</v>
      </c>
      <c r="H17" s="589"/>
      <c r="I17" s="589"/>
      <c r="J17" s="589"/>
      <c r="K17" s="589"/>
      <c r="L17" s="589"/>
      <c r="M17" s="589"/>
      <c r="N17" s="589"/>
      <c r="O17" s="148"/>
    </row>
    <row r="18" spans="2:25" ht="15" customHeight="1" x14ac:dyDescent="0.25">
      <c r="B18" s="148"/>
      <c r="C18" s="597"/>
      <c r="D18" s="597"/>
      <c r="E18" s="598"/>
      <c r="F18" s="215"/>
      <c r="G18" s="589"/>
      <c r="H18" s="589"/>
      <c r="I18" s="589"/>
      <c r="J18" s="589"/>
      <c r="K18" s="589"/>
      <c r="L18" s="589"/>
      <c r="M18" s="589"/>
      <c r="N18" s="589"/>
      <c r="O18" s="148"/>
    </row>
    <row r="19" spans="2:25" x14ac:dyDescent="0.25">
      <c r="B19" s="148"/>
      <c r="C19" s="597"/>
      <c r="D19" s="597"/>
      <c r="E19" s="598"/>
      <c r="F19" s="161" t="s">
        <v>230</v>
      </c>
      <c r="G19" s="589" t="s">
        <v>370</v>
      </c>
      <c r="H19" s="589"/>
      <c r="I19" s="589"/>
      <c r="J19" s="589"/>
      <c r="K19" s="589"/>
      <c r="L19" s="589"/>
      <c r="M19" s="589"/>
      <c r="N19" s="589"/>
      <c r="O19" s="148"/>
    </row>
    <row r="20" spans="2:25" x14ac:dyDescent="0.25">
      <c r="B20" s="160"/>
      <c r="C20" s="607"/>
      <c r="D20" s="607"/>
      <c r="E20" s="608"/>
      <c r="F20" s="216"/>
      <c r="G20" s="617"/>
      <c r="H20" s="617"/>
      <c r="I20" s="617"/>
      <c r="J20" s="617"/>
      <c r="K20" s="617"/>
      <c r="L20" s="617"/>
      <c r="M20" s="617"/>
      <c r="N20" s="617"/>
      <c r="O20" s="160"/>
    </row>
    <row r="21" spans="2:25" x14ac:dyDescent="0.25">
      <c r="B21" s="160"/>
      <c r="C21" s="618" t="s">
        <v>375</v>
      </c>
      <c r="D21" s="618"/>
      <c r="E21" s="619"/>
      <c r="F21" s="615" t="s">
        <v>376</v>
      </c>
      <c r="G21" s="605"/>
      <c r="H21" s="605"/>
      <c r="I21" s="605"/>
      <c r="J21" s="605"/>
      <c r="K21" s="605"/>
      <c r="L21" s="605"/>
      <c r="M21" s="605"/>
      <c r="N21" s="605"/>
      <c r="O21" s="160"/>
    </row>
    <row r="22" spans="2:25" x14ac:dyDescent="0.25">
      <c r="B22" s="160"/>
      <c r="C22" s="220"/>
      <c r="D22" s="220"/>
      <c r="E22" s="221"/>
      <c r="F22" s="616"/>
      <c r="G22" s="597"/>
      <c r="H22" s="597"/>
      <c r="I22" s="597"/>
      <c r="J22" s="597"/>
      <c r="K22" s="597"/>
      <c r="L22" s="597"/>
      <c r="M22" s="597"/>
      <c r="N22" s="597"/>
      <c r="O22" s="160"/>
    </row>
    <row r="23" spans="2:25" x14ac:dyDescent="0.25">
      <c r="B23" s="160"/>
      <c r="C23" s="220"/>
      <c r="D23" s="220"/>
      <c r="E23" s="221"/>
      <c r="F23" s="161" t="s">
        <v>230</v>
      </c>
      <c r="G23" s="589" t="s">
        <v>370</v>
      </c>
      <c r="H23" s="589"/>
      <c r="I23" s="589"/>
      <c r="J23" s="589"/>
      <c r="K23" s="589"/>
      <c r="L23" s="589"/>
      <c r="M23" s="589"/>
      <c r="N23" s="589"/>
      <c r="O23" s="160"/>
    </row>
    <row r="24" spans="2:25" x14ac:dyDescent="0.25">
      <c r="B24" s="160"/>
      <c r="C24" s="222"/>
      <c r="D24" s="222"/>
      <c r="E24" s="223"/>
      <c r="F24" s="224"/>
      <c r="G24" s="617"/>
      <c r="H24" s="617"/>
      <c r="I24" s="617"/>
      <c r="J24" s="617"/>
      <c r="K24" s="617"/>
      <c r="L24" s="617"/>
      <c r="M24" s="617"/>
      <c r="N24" s="617"/>
      <c r="O24" s="160"/>
    </row>
    <row r="25" spans="2:25" ht="15" customHeight="1" x14ac:dyDescent="0.25">
      <c r="B25" s="148"/>
      <c r="C25" s="597" t="s">
        <v>378</v>
      </c>
      <c r="D25" s="597"/>
      <c r="E25" s="598"/>
      <c r="F25" s="597" t="s">
        <v>291</v>
      </c>
      <c r="G25" s="597"/>
      <c r="H25" s="597"/>
      <c r="I25" s="597"/>
      <c r="J25" s="597"/>
      <c r="K25" s="597"/>
      <c r="L25" s="597"/>
      <c r="M25" s="597"/>
      <c r="N25" s="597"/>
      <c r="O25" s="148"/>
    </row>
    <row r="26" spans="2:25" x14ac:dyDescent="0.25">
      <c r="B26" s="148"/>
      <c r="C26" s="597"/>
      <c r="D26" s="597"/>
      <c r="E26" s="598"/>
      <c r="F26" s="597"/>
      <c r="G26" s="597"/>
      <c r="H26" s="597"/>
      <c r="I26" s="597"/>
      <c r="J26" s="597"/>
      <c r="K26" s="597"/>
      <c r="L26" s="597"/>
      <c r="M26" s="597"/>
      <c r="N26" s="597"/>
      <c r="O26" s="160"/>
    </row>
    <row r="27" spans="2:25" x14ac:dyDescent="0.25">
      <c r="B27" s="148"/>
      <c r="C27" s="597"/>
      <c r="D27" s="597"/>
      <c r="E27" s="598"/>
      <c r="F27" s="597" t="s">
        <v>302</v>
      </c>
      <c r="G27" s="597"/>
      <c r="H27" s="597"/>
      <c r="I27" s="597"/>
      <c r="J27" s="597"/>
      <c r="K27" s="597"/>
      <c r="L27" s="597"/>
      <c r="M27" s="597"/>
      <c r="N27" s="597"/>
      <c r="O27" s="148"/>
    </row>
    <row r="28" spans="2:25" x14ac:dyDescent="0.25">
      <c r="B28" s="148"/>
      <c r="C28" s="597"/>
      <c r="D28" s="597"/>
      <c r="E28" s="598"/>
      <c r="F28" s="597"/>
      <c r="G28" s="597"/>
      <c r="H28" s="597"/>
      <c r="I28" s="597"/>
      <c r="J28" s="597"/>
      <c r="K28" s="597"/>
      <c r="L28" s="597"/>
      <c r="M28" s="597"/>
      <c r="N28" s="597"/>
      <c r="O28" s="148"/>
    </row>
    <row r="29" spans="2:25" x14ac:dyDescent="0.25">
      <c r="B29" s="586"/>
      <c r="C29" s="586"/>
      <c r="D29" s="586"/>
      <c r="E29" s="586"/>
      <c r="F29" s="586"/>
      <c r="G29" s="586"/>
      <c r="H29" s="586"/>
      <c r="I29" s="586"/>
      <c r="J29" s="586"/>
      <c r="K29" s="586"/>
      <c r="L29" s="586"/>
      <c r="M29" s="586"/>
      <c r="N29" s="586"/>
      <c r="O29" s="586"/>
    </row>
    <row r="30" spans="2:25" x14ac:dyDescent="0.25">
      <c r="B30" s="592" t="s">
        <v>284</v>
      </c>
      <c r="C30" s="592"/>
      <c r="D30" s="592"/>
      <c r="E30" s="592"/>
      <c r="F30" s="592"/>
      <c r="G30" s="592"/>
      <c r="H30" s="592"/>
      <c r="I30" s="592"/>
      <c r="J30" s="592"/>
      <c r="K30" s="592"/>
      <c r="L30" s="592"/>
      <c r="M30" s="592"/>
      <c r="N30" s="558" t="s">
        <v>22</v>
      </c>
      <c r="O30" s="559"/>
      <c r="P30" s="112"/>
      <c r="Q30" s="112"/>
      <c r="R30" s="112"/>
      <c r="S30" s="112"/>
      <c r="T30" s="112"/>
      <c r="U30" s="112"/>
      <c r="V30" s="112"/>
      <c r="W30" s="112"/>
      <c r="X30" s="112"/>
      <c r="Y30" s="112"/>
    </row>
    <row r="31" spans="2:25" x14ac:dyDescent="0.25">
      <c r="B31" s="161" t="s">
        <v>230</v>
      </c>
      <c r="C31" s="560" t="s">
        <v>443</v>
      </c>
      <c r="D31" s="560"/>
      <c r="E31" s="560"/>
      <c r="F31" s="560"/>
      <c r="G31" s="560"/>
      <c r="H31" s="560"/>
      <c r="I31" s="560"/>
      <c r="J31" s="560"/>
      <c r="K31" s="560"/>
      <c r="L31" s="560"/>
      <c r="M31" s="560"/>
      <c r="N31" s="560"/>
      <c r="O31" s="560"/>
      <c r="P31" s="112"/>
      <c r="Q31" s="112"/>
      <c r="R31" s="112"/>
      <c r="S31" s="112"/>
      <c r="T31" s="112"/>
      <c r="U31" s="112"/>
      <c r="V31" s="112"/>
      <c r="W31" s="112"/>
      <c r="X31" s="112"/>
      <c r="Y31" s="112"/>
    </row>
    <row r="32" spans="2:25" x14ac:dyDescent="0.25">
      <c r="B32" s="161"/>
      <c r="C32" s="389"/>
      <c r="D32" s="587" t="s">
        <v>215</v>
      </c>
      <c r="E32" s="587"/>
      <c r="F32" s="587"/>
      <c r="G32" s="587"/>
      <c r="H32" s="587"/>
      <c r="I32" s="587"/>
      <c r="J32" s="587"/>
      <c r="K32" s="587"/>
      <c r="L32" s="587"/>
      <c r="M32" s="587"/>
      <c r="N32" s="587"/>
      <c r="O32" s="587"/>
      <c r="P32" s="112"/>
      <c r="Q32" s="112"/>
      <c r="R32" s="112"/>
      <c r="S32" s="112"/>
      <c r="T32" s="112"/>
      <c r="U32" s="112"/>
      <c r="V32" s="112"/>
      <c r="W32" s="112"/>
      <c r="X32" s="112"/>
      <c r="Y32" s="112"/>
    </row>
    <row r="33" spans="2:25" x14ac:dyDescent="0.25">
      <c r="B33" s="161" t="s">
        <v>230</v>
      </c>
      <c r="C33" s="589" t="s">
        <v>445</v>
      </c>
      <c r="D33" s="589"/>
      <c r="E33" s="589"/>
      <c r="F33" s="589"/>
      <c r="G33" s="589"/>
      <c r="H33" s="589"/>
      <c r="I33" s="589"/>
      <c r="J33" s="589"/>
      <c r="K33" s="589"/>
      <c r="L33" s="589"/>
      <c r="M33" s="589"/>
      <c r="N33" s="148"/>
      <c r="O33" s="148"/>
      <c r="P33" s="112"/>
      <c r="Q33" s="112"/>
      <c r="R33" s="112"/>
      <c r="S33" s="112"/>
      <c r="T33" s="112"/>
      <c r="U33" s="112"/>
      <c r="V33" s="112"/>
      <c r="W33" s="112"/>
      <c r="X33" s="112"/>
      <c r="Y33" s="112"/>
    </row>
    <row r="34" spans="2:25" x14ac:dyDescent="0.25">
      <c r="B34" s="586"/>
      <c r="C34" s="586"/>
      <c r="D34" s="586"/>
      <c r="E34" s="586"/>
      <c r="F34" s="586"/>
      <c r="G34" s="586"/>
      <c r="H34" s="586"/>
      <c r="I34" s="586"/>
      <c r="J34" s="586"/>
      <c r="K34" s="586"/>
      <c r="L34" s="586"/>
      <c r="M34" s="586"/>
      <c r="N34" s="586"/>
      <c r="O34" s="586"/>
      <c r="P34" s="112"/>
      <c r="Q34" s="112"/>
      <c r="R34" s="112"/>
      <c r="S34" s="112"/>
      <c r="T34" s="112"/>
      <c r="U34" s="112"/>
      <c r="V34" s="112"/>
      <c r="W34" s="112"/>
      <c r="X34" s="112"/>
      <c r="Y34" s="112"/>
    </row>
    <row r="35" spans="2:25" x14ac:dyDescent="0.25">
      <c r="B35" s="551" t="s">
        <v>631</v>
      </c>
      <c r="C35" s="551"/>
      <c r="D35" s="551"/>
      <c r="E35" s="551"/>
      <c r="F35" s="551"/>
      <c r="G35" s="551"/>
      <c r="H35" s="551"/>
      <c r="I35" s="551"/>
      <c r="J35" s="551"/>
      <c r="K35" s="551"/>
      <c r="L35" s="551"/>
      <c r="M35" s="551"/>
      <c r="N35" s="551"/>
      <c r="O35" s="551"/>
      <c r="P35" s="112"/>
      <c r="Q35" s="112"/>
      <c r="R35" s="112"/>
      <c r="S35" s="112"/>
      <c r="T35" s="112"/>
      <c r="U35" s="112"/>
      <c r="V35" s="112"/>
      <c r="W35" s="112"/>
      <c r="X35" s="112"/>
      <c r="Y35" s="112"/>
    </row>
    <row r="36" spans="2:25" x14ac:dyDescent="0.25">
      <c r="B36" s="551"/>
      <c r="C36" s="551"/>
      <c r="D36" s="551"/>
      <c r="E36" s="551"/>
      <c r="F36" s="551"/>
      <c r="G36" s="551"/>
      <c r="H36" s="551"/>
      <c r="I36" s="551"/>
      <c r="J36" s="551"/>
      <c r="K36" s="551"/>
      <c r="L36" s="551"/>
      <c r="M36" s="551"/>
      <c r="N36" s="551"/>
      <c r="O36" s="551"/>
      <c r="P36" s="112"/>
      <c r="Q36" s="112"/>
      <c r="R36" s="112"/>
      <c r="S36" s="112"/>
      <c r="T36" s="112"/>
      <c r="U36" s="112"/>
      <c r="V36" s="112"/>
      <c r="W36" s="112"/>
      <c r="X36" s="112"/>
      <c r="Y36" s="112"/>
    </row>
    <row r="37" spans="2:25" x14ac:dyDescent="0.25">
      <c r="B37" s="551"/>
      <c r="C37" s="551"/>
      <c r="D37" s="551"/>
      <c r="E37" s="551"/>
      <c r="F37" s="551"/>
      <c r="G37" s="551"/>
      <c r="H37" s="551"/>
      <c r="I37" s="551"/>
      <c r="J37" s="551"/>
      <c r="K37" s="551"/>
      <c r="L37" s="551"/>
      <c r="M37" s="551"/>
      <c r="N37" s="551"/>
      <c r="O37" s="551"/>
      <c r="P37" s="112"/>
      <c r="Q37" s="112"/>
      <c r="R37" s="112"/>
      <c r="S37" s="112"/>
      <c r="T37" s="112"/>
      <c r="U37" s="112"/>
      <c r="V37" s="112"/>
      <c r="W37" s="112"/>
      <c r="X37" s="112"/>
      <c r="Y37" s="112"/>
    </row>
    <row r="38" spans="2:25" ht="15" customHeight="1" x14ac:dyDescent="0.25">
      <c r="B38" s="162"/>
      <c r="C38" s="161" t="s">
        <v>230</v>
      </c>
      <c r="D38" s="569" t="s">
        <v>286</v>
      </c>
      <c r="E38" s="569"/>
      <c r="F38" s="569"/>
      <c r="G38" s="569"/>
      <c r="H38" s="569"/>
      <c r="I38" s="569"/>
      <c r="J38" s="550" t="s">
        <v>448</v>
      </c>
      <c r="K38" s="550"/>
      <c r="L38" s="550"/>
      <c r="M38" s="550"/>
      <c r="N38" s="550"/>
      <c r="O38" s="162"/>
      <c r="P38" s="112"/>
      <c r="Q38" s="112"/>
      <c r="R38" s="112"/>
      <c r="S38" s="112"/>
      <c r="T38" s="112"/>
      <c r="U38" s="112"/>
      <c r="V38" s="112"/>
      <c r="W38" s="112"/>
      <c r="X38" s="112"/>
      <c r="Y38" s="112"/>
    </row>
    <row r="39" spans="2:25" x14ac:dyDescent="0.25">
      <c r="B39" s="163"/>
      <c r="C39" s="161" t="s">
        <v>230</v>
      </c>
      <c r="D39" s="569" t="s">
        <v>285</v>
      </c>
      <c r="E39" s="569"/>
      <c r="F39" s="569"/>
      <c r="G39" s="569"/>
      <c r="H39" s="225"/>
      <c r="I39" s="226"/>
      <c r="J39" s="550"/>
      <c r="K39" s="550"/>
      <c r="L39" s="550"/>
      <c r="M39" s="550"/>
      <c r="N39" s="550"/>
      <c r="O39" s="164"/>
      <c r="P39" s="112"/>
      <c r="Q39" s="112"/>
      <c r="R39" s="112"/>
      <c r="S39" s="112"/>
      <c r="T39" s="112"/>
      <c r="U39" s="112"/>
      <c r="V39" s="112"/>
      <c r="W39" s="112"/>
      <c r="X39" s="112"/>
      <c r="Y39" s="112"/>
    </row>
    <row r="40" spans="2:25" x14ac:dyDescent="0.25">
      <c r="B40" s="163"/>
      <c r="C40" s="161" t="s">
        <v>230</v>
      </c>
      <c r="D40" s="569" t="s">
        <v>287</v>
      </c>
      <c r="E40" s="569"/>
      <c r="F40" s="569"/>
      <c r="G40" s="569"/>
      <c r="H40" s="569"/>
      <c r="I40" s="569"/>
      <c r="J40" s="588" t="s">
        <v>449</v>
      </c>
      <c r="K40" s="588"/>
      <c r="L40" s="588"/>
      <c r="M40" s="588"/>
      <c r="N40" s="588"/>
      <c r="O40" s="164"/>
      <c r="P40" s="112"/>
      <c r="Q40" s="112"/>
      <c r="R40" s="112"/>
      <c r="S40" s="112"/>
      <c r="T40" s="112"/>
      <c r="U40" s="112"/>
      <c r="V40" s="112"/>
      <c r="W40" s="112"/>
      <c r="X40" s="112"/>
      <c r="Y40" s="112"/>
    </row>
    <row r="41" spans="2:25" x14ac:dyDescent="0.25">
      <c r="B41" s="578"/>
      <c r="C41" s="578"/>
      <c r="D41" s="578"/>
      <c r="E41" s="578"/>
      <c r="F41" s="578"/>
      <c r="G41" s="578"/>
      <c r="H41" s="578"/>
      <c r="I41" s="578"/>
      <c r="J41" s="578"/>
      <c r="K41" s="578"/>
      <c r="L41" s="578"/>
      <c r="M41" s="578"/>
      <c r="N41" s="578"/>
      <c r="O41" s="578"/>
      <c r="P41" s="112"/>
      <c r="Q41" s="112"/>
      <c r="R41" s="112"/>
      <c r="S41" s="112"/>
      <c r="T41" s="112"/>
      <c r="U41" s="112"/>
      <c r="V41" s="112"/>
      <c r="W41" s="112"/>
      <c r="X41" s="112"/>
      <c r="Y41" s="112"/>
    </row>
    <row r="42" spans="2:25" x14ac:dyDescent="0.25">
      <c r="B42" s="551" t="s">
        <v>630</v>
      </c>
      <c r="C42" s="551"/>
      <c r="D42" s="551"/>
      <c r="E42" s="551"/>
      <c r="F42" s="551"/>
      <c r="G42" s="551"/>
      <c r="H42" s="551"/>
      <c r="I42" s="551"/>
      <c r="J42" s="551"/>
      <c r="K42" s="551"/>
      <c r="L42" s="551"/>
      <c r="M42" s="551"/>
      <c r="N42" s="551"/>
      <c r="O42" s="551"/>
      <c r="P42" s="112"/>
      <c r="Q42" s="112"/>
      <c r="R42" s="112"/>
      <c r="S42" s="112"/>
      <c r="T42" s="112"/>
      <c r="U42" s="112"/>
      <c r="V42" s="112"/>
      <c r="W42" s="112"/>
      <c r="X42" s="112"/>
      <c r="Y42" s="112"/>
    </row>
    <row r="43" spans="2:25" x14ac:dyDescent="0.25">
      <c r="B43" s="165"/>
      <c r="C43" s="551" t="s">
        <v>290</v>
      </c>
      <c r="D43" s="551"/>
      <c r="E43" s="551"/>
      <c r="F43" s="551"/>
      <c r="G43" s="551"/>
      <c r="H43" s="551"/>
      <c r="I43" s="551"/>
      <c r="J43" s="551"/>
      <c r="K43" s="551"/>
      <c r="L43" s="551"/>
      <c r="M43" s="551"/>
      <c r="N43" s="551"/>
      <c r="O43" s="551"/>
      <c r="P43" s="112"/>
      <c r="Q43" s="112"/>
      <c r="R43" s="112"/>
      <c r="S43" s="112"/>
      <c r="T43" s="112"/>
      <c r="U43" s="112"/>
      <c r="V43" s="112"/>
      <c r="W43" s="112"/>
      <c r="X43" s="112"/>
      <c r="Y43" s="112"/>
    </row>
    <row r="44" spans="2:25" x14ac:dyDescent="0.25">
      <c r="B44" s="165"/>
      <c r="C44" s="161" t="s">
        <v>230</v>
      </c>
      <c r="D44" s="569" t="s">
        <v>287</v>
      </c>
      <c r="E44" s="569"/>
      <c r="F44" s="569"/>
      <c r="G44" s="569"/>
      <c r="H44" s="569"/>
      <c r="I44" s="569"/>
      <c r="J44" s="165"/>
      <c r="K44" s="165"/>
      <c r="L44" s="165"/>
      <c r="M44" s="165"/>
      <c r="N44" s="165"/>
      <c r="O44" s="165"/>
      <c r="P44" s="112"/>
      <c r="Q44" s="112"/>
      <c r="R44" s="112"/>
      <c r="S44" s="112"/>
      <c r="T44" s="112"/>
      <c r="U44" s="112"/>
      <c r="V44" s="112"/>
      <c r="W44" s="112"/>
      <c r="X44" s="112"/>
      <c r="Y44" s="112"/>
    </row>
    <row r="45" spans="2:25" s="112" customFormat="1" x14ac:dyDescent="0.25">
      <c r="B45" s="578"/>
      <c r="C45" s="578"/>
      <c r="D45" s="578"/>
      <c r="E45" s="578"/>
      <c r="F45" s="578"/>
      <c r="G45" s="578"/>
      <c r="H45" s="578"/>
      <c r="I45" s="578"/>
      <c r="J45" s="578"/>
      <c r="K45" s="578"/>
      <c r="L45" s="578"/>
      <c r="M45" s="578"/>
      <c r="N45" s="578"/>
      <c r="O45" s="578"/>
    </row>
    <row r="46" spans="2:25" x14ac:dyDescent="0.25">
      <c r="B46" s="115"/>
      <c r="C46" s="115"/>
      <c r="D46" s="115"/>
      <c r="E46" s="115"/>
      <c r="F46" s="115"/>
      <c r="G46" s="115"/>
      <c r="H46" s="115"/>
      <c r="I46" s="115"/>
      <c r="J46" s="115"/>
      <c r="K46" s="115"/>
      <c r="L46" s="115"/>
      <c r="M46" s="115"/>
      <c r="N46" s="115"/>
      <c r="O46" s="115"/>
      <c r="P46" s="112"/>
      <c r="Q46" s="112"/>
      <c r="R46" s="112"/>
      <c r="S46" s="112"/>
      <c r="T46" s="112"/>
      <c r="U46" s="112"/>
      <c r="V46" s="112"/>
      <c r="W46" s="112"/>
      <c r="X46" s="112"/>
      <c r="Y46" s="112"/>
    </row>
    <row r="47" spans="2:25" x14ac:dyDescent="0.25">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row>
  </sheetData>
  <protectedRanges>
    <protectedRange sqref="B10 B46:O133 N4:AR4 P1:AT3 P5:AT205" name="Writingspace"/>
    <protectedRange sqref="N30:O30" name="StateGen"/>
  </protectedRanges>
  <mergeCells count="44">
    <mergeCell ref="C4:K4"/>
    <mergeCell ref="L4:M4"/>
    <mergeCell ref="B9:O9"/>
    <mergeCell ref="B29:O29"/>
    <mergeCell ref="F25:N26"/>
    <mergeCell ref="F12:N14"/>
    <mergeCell ref="F27:N28"/>
    <mergeCell ref="F15:N16"/>
    <mergeCell ref="G17:N18"/>
    <mergeCell ref="G19:N20"/>
    <mergeCell ref="C21:E21"/>
    <mergeCell ref="F21:N22"/>
    <mergeCell ref="G23:N24"/>
    <mergeCell ref="B1:O1"/>
    <mergeCell ref="B2:O2"/>
    <mergeCell ref="B30:M30"/>
    <mergeCell ref="N30:O30"/>
    <mergeCell ref="J8:L8"/>
    <mergeCell ref="B3:O3"/>
    <mergeCell ref="E8:F8"/>
    <mergeCell ref="C5:O5"/>
    <mergeCell ref="B7:O7"/>
    <mergeCell ref="G8:H8"/>
    <mergeCell ref="F11:N11"/>
    <mergeCell ref="C11:E11"/>
    <mergeCell ref="C25:E28"/>
    <mergeCell ref="C12:E14"/>
    <mergeCell ref="C15:E20"/>
    <mergeCell ref="B10:O10"/>
    <mergeCell ref="B34:O34"/>
    <mergeCell ref="C31:O31"/>
    <mergeCell ref="D32:O32"/>
    <mergeCell ref="B45:O45"/>
    <mergeCell ref="D44:I44"/>
    <mergeCell ref="C43:O43"/>
    <mergeCell ref="B42:O42"/>
    <mergeCell ref="B35:O37"/>
    <mergeCell ref="D38:I38"/>
    <mergeCell ref="D39:G39"/>
    <mergeCell ref="D40:I40"/>
    <mergeCell ref="B41:O41"/>
    <mergeCell ref="J38:N39"/>
    <mergeCell ref="J40:N40"/>
    <mergeCell ref="C33:M33"/>
  </mergeCells>
  <hyperlinks>
    <hyperlink ref="D32" r:id="rId1" xr:uid="{00000000-0004-0000-0200-000000000000}"/>
    <hyperlink ref="D39:G39" r:id="rId2" display="Air permit forms" xr:uid="{00000000-0004-0000-0200-000001000000}"/>
    <hyperlink ref="D38" r:id="rId3" xr:uid="{00000000-0004-0000-0200-000002000000}"/>
    <hyperlink ref="D40:I40" r:id="rId4" display="More information on types of air permits" xr:uid="{00000000-0004-0000-0200-000003000000}"/>
    <hyperlink ref="D44:I44" r:id="rId5" display="More information on types of air permits" xr:uid="{00000000-0004-0000-0200-000004000000}"/>
    <hyperlink ref="L4:M4" r:id="rId6" display="Minn. R. 7007.0300" xr:uid="{00000000-0004-0000-0200-000005000000}"/>
    <hyperlink ref="J40:N40" r:id="rId7" display="Minn. R. 7007.1100, subp. 5" xr:uid="{00000000-0004-0000-0200-000006000000}"/>
  </hyperlinks>
  <pageMargins left="0.25" right="0.25" top="0.75" bottom="0.75" header="0.3" footer="0.3"/>
  <pageSetup scale="98" fitToHeight="0" orientation="landscape" verticalDpi="1200" r:id="rId8"/>
  <headerFooter>
    <oddFooter>&amp;L&amp;"Arial,Italic"&amp;8p-sbap5-30&amp;C&amp;"Arial,Italic"&amp;8https://www.pca.state.mn.us  •  Available in alternative formats  •  Use your preferred relay service&amp;R&amp;10Page &amp;P of &amp;N</oddFooter>
    <firstFooter>&amp;L&amp;10Grain and Commodity Calculator - Instructions&amp;R&amp;10&amp;P</first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Title="Incorrect Entry" error="Please choose &quot;yes&quot; or &quot;no&quot; from the drop down list._x000a__x000a_----&gt; Press CANCEL" xr:uid="{00000000-0002-0000-0200-000000000000}">
          <x14:formula1>
            <xm:f>'Data validation'!$C$6:$C$8</xm:f>
          </x14:formula1>
          <xm:sqref>N30:O30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D1EAFF"/>
    <pageSetUpPr fitToPage="1"/>
  </sheetPr>
  <dimension ref="B1:P54"/>
  <sheetViews>
    <sheetView showGridLines="0" zoomScaleNormal="100" zoomScaleSheetLayoutView="100" zoomScalePageLayoutView="85" workbookViewId="0">
      <selection activeCell="F21" sqref="F21"/>
    </sheetView>
  </sheetViews>
  <sheetFormatPr defaultColWidth="9.140625" defaultRowHeight="15" x14ac:dyDescent="0.25"/>
  <cols>
    <col min="1" max="1" width="3.28515625" style="112" customWidth="1"/>
    <col min="2" max="3" width="14.7109375" style="112" customWidth="1"/>
    <col min="4" max="11" width="14.42578125" style="112" customWidth="1"/>
    <col min="12" max="12" width="12" style="112" customWidth="1"/>
    <col min="13" max="16384" width="9.140625" style="112"/>
  </cols>
  <sheetData>
    <row r="1" spans="2:16" x14ac:dyDescent="0.25">
      <c r="B1" s="590" t="str">
        <f>Instructions!G2</f>
        <v>p-sbap5-30 • 7/31/25</v>
      </c>
      <c r="C1" s="590"/>
      <c r="D1" s="590"/>
      <c r="E1" s="590"/>
      <c r="F1" s="590"/>
      <c r="G1" s="590"/>
      <c r="H1" s="590"/>
      <c r="I1" s="590"/>
      <c r="J1" s="590"/>
      <c r="K1" s="590"/>
    </row>
    <row r="2" spans="2:16" ht="19.5" thickBot="1" x14ac:dyDescent="0.3">
      <c r="B2" s="591" t="s">
        <v>96</v>
      </c>
      <c r="C2" s="591"/>
      <c r="D2" s="591"/>
      <c r="E2" s="591"/>
      <c r="F2" s="591"/>
      <c r="G2" s="591"/>
      <c r="H2" s="591"/>
      <c r="I2" s="591"/>
      <c r="J2" s="591"/>
      <c r="K2" s="591"/>
      <c r="L2" s="113"/>
    </row>
    <row r="3" spans="2:16" ht="15" customHeight="1" x14ac:dyDescent="0.25">
      <c r="B3" s="652" t="s">
        <v>455</v>
      </c>
      <c r="C3" s="652"/>
      <c r="D3" s="652"/>
      <c r="E3" s="652"/>
      <c r="F3" s="652"/>
      <c r="G3" s="652"/>
      <c r="H3" s="652"/>
      <c r="I3" s="652"/>
      <c r="J3" s="652"/>
      <c r="K3" s="652"/>
      <c r="L3" s="113"/>
    </row>
    <row r="4" spans="2:16" ht="15" customHeight="1" x14ac:dyDescent="0.25">
      <c r="B4" s="399"/>
      <c r="C4" s="399"/>
      <c r="D4" s="399"/>
      <c r="E4" s="399"/>
      <c r="F4" s="399"/>
      <c r="G4" s="399"/>
      <c r="H4" s="399"/>
      <c r="I4" s="399"/>
      <c r="J4" s="399"/>
      <c r="K4" s="399"/>
      <c r="L4" s="113"/>
    </row>
    <row r="5" spans="2:16" ht="15" customHeight="1" x14ac:dyDescent="0.25">
      <c r="B5" s="123" t="s">
        <v>98</v>
      </c>
      <c r="C5" s="637" t="s">
        <v>107</v>
      </c>
      <c r="D5" s="637"/>
      <c r="E5" s="637"/>
      <c r="F5" s="123" t="s">
        <v>103</v>
      </c>
      <c r="G5" s="639" t="s">
        <v>417</v>
      </c>
      <c r="H5" s="639"/>
      <c r="J5" s="639" t="s">
        <v>465</v>
      </c>
      <c r="K5" s="639"/>
      <c r="L5" s="113"/>
    </row>
    <row r="6" spans="2:16" ht="15" customHeight="1" x14ac:dyDescent="0.25">
      <c r="B6" s="124" t="s">
        <v>99</v>
      </c>
      <c r="C6" s="638" t="s">
        <v>105</v>
      </c>
      <c r="D6" s="638"/>
      <c r="E6" s="638"/>
      <c r="F6" s="124" t="s">
        <v>103</v>
      </c>
      <c r="G6" s="646" t="s">
        <v>128</v>
      </c>
      <c r="H6" s="647"/>
      <c r="J6" s="653" t="s">
        <v>463</v>
      </c>
      <c r="K6" s="653"/>
      <c r="L6" s="113"/>
    </row>
    <row r="7" spans="2:16" ht="15" customHeight="1" x14ac:dyDescent="0.25">
      <c r="B7" s="124" t="s">
        <v>100</v>
      </c>
      <c r="C7" s="644" t="s">
        <v>481</v>
      </c>
      <c r="D7" s="644"/>
      <c r="E7" s="644"/>
      <c r="F7" s="115"/>
      <c r="G7" s="648"/>
      <c r="H7" s="649"/>
      <c r="J7" s="582" t="s">
        <v>464</v>
      </c>
      <c r="K7" s="582"/>
      <c r="L7" s="113"/>
    </row>
    <row r="8" spans="2:16" ht="15" customHeight="1" x14ac:dyDescent="0.25">
      <c r="B8" s="124" t="s">
        <v>101</v>
      </c>
      <c r="C8" s="644" t="s">
        <v>106</v>
      </c>
      <c r="D8" s="644"/>
      <c r="E8" s="644"/>
      <c r="F8" s="124" t="s">
        <v>104</v>
      </c>
      <c r="G8" s="650" t="s">
        <v>129</v>
      </c>
      <c r="H8" s="651"/>
      <c r="J8" s="400"/>
      <c r="K8" s="399"/>
      <c r="L8" s="113"/>
    </row>
    <row r="9" spans="2:16" ht="15" customHeight="1" x14ac:dyDescent="0.25">
      <c r="B9" s="124" t="s">
        <v>102</v>
      </c>
      <c r="C9" s="645" t="s">
        <v>108</v>
      </c>
      <c r="D9" s="645"/>
      <c r="E9" s="645"/>
      <c r="G9" s="398"/>
      <c r="H9" s="398"/>
      <c r="I9" s="398"/>
      <c r="J9" s="398"/>
      <c r="K9" s="399"/>
      <c r="L9" s="113"/>
    </row>
    <row r="10" spans="2:16" ht="15" customHeight="1" x14ac:dyDescent="0.25">
      <c r="B10" s="399"/>
      <c r="C10" s="399"/>
      <c r="D10" s="399"/>
      <c r="E10" s="399"/>
      <c r="F10" s="399"/>
      <c r="G10" s="399"/>
      <c r="H10" s="399"/>
      <c r="I10" s="399"/>
      <c r="J10" s="399"/>
      <c r="K10" s="399"/>
      <c r="L10" s="113"/>
    </row>
    <row r="11" spans="2:16" ht="15" customHeight="1" x14ac:dyDescent="0.25">
      <c r="C11" s="643" t="s">
        <v>471</v>
      </c>
      <c r="D11" s="643"/>
      <c r="E11" s="643"/>
      <c r="F11" s="643"/>
      <c r="G11" s="643"/>
      <c r="H11" s="643"/>
      <c r="I11" s="643"/>
      <c r="J11" s="643"/>
      <c r="K11" s="394"/>
      <c r="O11" s="126"/>
      <c r="P11" s="126"/>
    </row>
    <row r="12" spans="2:16" ht="15" customHeight="1" x14ac:dyDescent="0.25">
      <c r="B12" s="394"/>
      <c r="C12" s="643"/>
      <c r="D12" s="643"/>
      <c r="E12" s="643"/>
      <c r="F12" s="643"/>
      <c r="G12" s="643"/>
      <c r="H12" s="643"/>
      <c r="I12" s="643"/>
      <c r="J12" s="643"/>
      <c r="K12" s="394"/>
      <c r="O12" s="126"/>
      <c r="P12" s="126"/>
    </row>
    <row r="13" spans="2:16" ht="15" customHeight="1" x14ac:dyDescent="0.25">
      <c r="B13" s="394"/>
      <c r="C13" s="643"/>
      <c r="D13" s="643"/>
      <c r="E13" s="643"/>
      <c r="F13" s="643"/>
      <c r="G13" s="643"/>
      <c r="H13" s="643"/>
      <c r="I13" s="643"/>
      <c r="J13" s="643"/>
      <c r="K13" s="394"/>
      <c r="O13" s="126"/>
      <c r="P13" s="126"/>
    </row>
    <row r="14" spans="2:16" x14ac:dyDescent="0.25">
      <c r="B14" s="394"/>
      <c r="C14" s="394"/>
      <c r="D14" s="394"/>
      <c r="E14" s="394"/>
      <c r="F14" s="394"/>
      <c r="G14" s="394"/>
      <c r="H14" s="394"/>
      <c r="I14" s="394"/>
      <c r="J14" s="394"/>
      <c r="K14" s="394"/>
      <c r="O14" s="126"/>
      <c r="P14" s="126"/>
    </row>
    <row r="15" spans="2:16" ht="15" customHeight="1" x14ac:dyDescent="0.25">
      <c r="B15" s="634" t="s">
        <v>476</v>
      </c>
      <c r="C15" s="634"/>
      <c r="D15" s="634"/>
      <c r="E15" s="634"/>
      <c r="F15" s="634"/>
      <c r="G15" s="634"/>
      <c r="H15" s="634"/>
      <c r="I15" s="634"/>
      <c r="J15" s="634"/>
      <c r="K15" s="634"/>
    </row>
    <row r="16" spans="2:16" ht="15" customHeight="1" x14ac:dyDescent="0.25">
      <c r="B16" s="642" t="s">
        <v>454</v>
      </c>
      <c r="C16" s="642"/>
      <c r="D16" s="642"/>
      <c r="E16" s="642"/>
      <c r="F16" s="642"/>
      <c r="G16" s="642"/>
      <c r="H16" s="642"/>
      <c r="I16" s="642"/>
      <c r="J16" s="642"/>
      <c r="O16" s="126"/>
      <c r="P16" s="126"/>
    </row>
    <row r="17" spans="2:16" ht="15" customHeight="1" x14ac:dyDescent="0.25">
      <c r="B17" s="643" t="s">
        <v>451</v>
      </c>
      <c r="C17" s="643"/>
      <c r="D17" s="643"/>
      <c r="E17" s="643"/>
      <c r="F17" s="643"/>
      <c r="G17" s="643"/>
      <c r="H17" s="643"/>
      <c r="I17" s="643"/>
      <c r="J17" s="643"/>
      <c r="K17" s="643"/>
      <c r="O17" s="126"/>
      <c r="P17" s="126"/>
    </row>
    <row r="18" spans="2:16" ht="15" customHeight="1" x14ac:dyDescent="0.25">
      <c r="B18" s="636" t="s">
        <v>452</v>
      </c>
      <c r="C18" s="636"/>
      <c r="D18" s="636"/>
      <c r="E18" s="636"/>
      <c r="F18" s="636"/>
      <c r="G18" s="636"/>
      <c r="H18" s="636"/>
      <c r="I18" s="636"/>
      <c r="J18" s="636"/>
      <c r="K18" s="636"/>
      <c r="O18" s="126"/>
      <c r="P18" s="126"/>
    </row>
    <row r="19" spans="2:16" x14ac:dyDescent="0.25">
      <c r="B19" s="636"/>
      <c r="C19" s="636"/>
      <c r="D19" s="636"/>
      <c r="E19" s="636"/>
      <c r="F19" s="636"/>
      <c r="G19" s="636"/>
      <c r="H19" s="636"/>
      <c r="I19" s="636"/>
      <c r="J19" s="636"/>
      <c r="K19" s="636"/>
    </row>
    <row r="20" spans="2:16" ht="15" customHeight="1" x14ac:dyDescent="0.25">
      <c r="B20" s="398"/>
      <c r="C20" s="398"/>
      <c r="D20" s="398"/>
      <c r="E20" s="398"/>
      <c r="F20" s="398"/>
      <c r="G20" s="398"/>
      <c r="H20" s="398"/>
      <c r="I20" s="398"/>
      <c r="J20" s="398"/>
    </row>
    <row r="21" spans="2:16" x14ac:dyDescent="0.25">
      <c r="B21" s="635" t="s">
        <v>453</v>
      </c>
      <c r="C21" s="635"/>
      <c r="D21" s="635"/>
      <c r="E21" s="635"/>
      <c r="F21" s="121">
        <v>0</v>
      </c>
      <c r="G21" s="640" t="s">
        <v>262</v>
      </c>
      <c r="H21" s="641"/>
      <c r="I21" s="641"/>
      <c r="K21" s="118"/>
    </row>
    <row r="22" spans="2:16" x14ac:dyDescent="0.25">
      <c r="B22" s="395"/>
      <c r="C22" s="395"/>
      <c r="D22" s="395"/>
      <c r="E22" s="395"/>
      <c r="F22" s="395"/>
      <c r="G22" s="395"/>
      <c r="H22" s="395"/>
      <c r="I22" s="395"/>
      <c r="J22" s="395"/>
      <c r="O22" s="126"/>
      <c r="P22" s="126"/>
    </row>
    <row r="23" spans="2:16" x14ac:dyDescent="0.25">
      <c r="B23" s="631" t="s">
        <v>24</v>
      </c>
      <c r="C23" s="632"/>
      <c r="D23" s="127" t="s">
        <v>25</v>
      </c>
      <c r="E23" s="127" t="s">
        <v>26</v>
      </c>
      <c r="F23" s="127" t="s">
        <v>27</v>
      </c>
      <c r="G23" s="127" t="s">
        <v>28</v>
      </c>
      <c r="H23" s="127" t="s">
        <v>29</v>
      </c>
      <c r="I23" s="127" t="s">
        <v>30</v>
      </c>
      <c r="J23" s="127" t="s">
        <v>31</v>
      </c>
      <c r="K23" s="127" t="s">
        <v>458</v>
      </c>
    </row>
    <row r="24" spans="2:16" x14ac:dyDescent="0.25">
      <c r="B24" s="627" t="s">
        <v>456</v>
      </c>
      <c r="C24" s="628"/>
      <c r="D24" s="626" t="s">
        <v>113</v>
      </c>
      <c r="E24" s="626" t="s">
        <v>113</v>
      </c>
      <c r="F24" s="626" t="s">
        <v>33</v>
      </c>
      <c r="G24" s="626" t="s">
        <v>34</v>
      </c>
      <c r="H24" s="626" t="s">
        <v>303</v>
      </c>
      <c r="I24" s="626" t="s">
        <v>304</v>
      </c>
      <c r="J24" s="626" t="s">
        <v>305</v>
      </c>
      <c r="K24" s="626" t="s">
        <v>306</v>
      </c>
    </row>
    <row r="25" spans="2:16" x14ac:dyDescent="0.25">
      <c r="B25" s="627"/>
      <c r="C25" s="628"/>
      <c r="D25" s="626"/>
      <c r="E25" s="626"/>
      <c r="F25" s="626"/>
      <c r="G25" s="626"/>
      <c r="H25" s="626"/>
      <c r="I25" s="626"/>
      <c r="J25" s="626"/>
      <c r="K25" s="626"/>
    </row>
    <row r="26" spans="2:16" x14ac:dyDescent="0.25">
      <c r="B26" s="627"/>
      <c r="C26" s="628"/>
      <c r="D26" s="391" t="s">
        <v>450</v>
      </c>
      <c r="E26" s="128" t="s">
        <v>35</v>
      </c>
      <c r="F26" s="128" t="s">
        <v>36</v>
      </c>
      <c r="G26" s="128" t="s">
        <v>35</v>
      </c>
      <c r="H26" s="128" t="s">
        <v>36</v>
      </c>
      <c r="I26" s="128" t="s">
        <v>23</v>
      </c>
      <c r="J26" s="128" t="s">
        <v>36</v>
      </c>
      <c r="K26" s="128" t="s">
        <v>23</v>
      </c>
    </row>
    <row r="27" spans="2:16" x14ac:dyDescent="0.25">
      <c r="B27" s="629"/>
      <c r="C27" s="630"/>
      <c r="D27" s="392"/>
      <c r="E27" s="131" t="s">
        <v>462</v>
      </c>
      <c r="F27" s="130"/>
      <c r="G27" s="131" t="s">
        <v>459</v>
      </c>
      <c r="H27" s="131"/>
      <c r="I27" s="131" t="s">
        <v>460</v>
      </c>
      <c r="J27" s="131"/>
      <c r="K27" s="131" t="s">
        <v>461</v>
      </c>
    </row>
    <row r="28" spans="2:16" x14ac:dyDescent="0.25">
      <c r="B28" s="621" t="s">
        <v>98</v>
      </c>
      <c r="C28" s="132" t="s">
        <v>99</v>
      </c>
      <c r="D28" s="396">
        <v>0</v>
      </c>
      <c r="E28" s="397">
        <f>D28*8760</f>
        <v>0</v>
      </c>
      <c r="F28" s="133">
        <f>'Aggregate emission factors'!E10</f>
        <v>6.9999999999999999E-4</v>
      </c>
      <c r="G28" s="204">
        <f t="shared" ref="G28:G34" si="0">$E28*F28/2000</f>
        <v>0</v>
      </c>
      <c r="H28" s="133">
        <f>'Aggregate emission factors'!G10</f>
        <v>6.9999999999999999E-4</v>
      </c>
      <c r="I28" s="134">
        <f t="shared" ref="I28:I34" si="1">$E28*H28/2000</f>
        <v>0</v>
      </c>
      <c r="J28" s="133">
        <f>'Aggregate emission factors'!E36</f>
        <v>5.0000000000000001E-4</v>
      </c>
      <c r="K28" s="134">
        <f t="shared" ref="K28:K34" si="2">$E28*J28/2000</f>
        <v>0</v>
      </c>
    </row>
    <row r="29" spans="2:16" x14ac:dyDescent="0.25">
      <c r="B29" s="622"/>
      <c r="C29" s="135" t="s">
        <v>100</v>
      </c>
      <c r="D29" s="396">
        <v>0</v>
      </c>
      <c r="E29" s="397">
        <f t="shared" ref="E29:E33" si="3">D29*8760</f>
        <v>0</v>
      </c>
      <c r="F29" s="133">
        <f>'Aggregate emission factors'!E12</f>
        <v>2.5000000000000001E-2</v>
      </c>
      <c r="G29" s="204">
        <f t="shared" si="0"/>
        <v>0</v>
      </c>
      <c r="H29" s="133">
        <f>'Aggregate emission factors'!G12</f>
        <v>8.6999999999999994E-3</v>
      </c>
      <c r="I29" s="134">
        <f t="shared" si="1"/>
        <v>0</v>
      </c>
      <c r="J29" s="133">
        <f>'Aggregate emission factors'!E37</f>
        <v>2.5000000000000001E-4</v>
      </c>
      <c r="K29" s="134">
        <f t="shared" si="2"/>
        <v>0</v>
      </c>
    </row>
    <row r="30" spans="2:16" x14ac:dyDescent="0.25">
      <c r="B30" s="622"/>
      <c r="C30" s="135" t="s">
        <v>101</v>
      </c>
      <c r="D30" s="396">
        <v>0</v>
      </c>
      <c r="E30" s="397">
        <f t="shared" si="3"/>
        <v>0</v>
      </c>
      <c r="F30" s="133">
        <f>'Aggregate emission factors'!E14</f>
        <v>5.4000000000000003E-3</v>
      </c>
      <c r="G30" s="204">
        <f t="shared" si="0"/>
        <v>0</v>
      </c>
      <c r="H30" s="133">
        <f>'Aggregate emission factors'!G14</f>
        <v>2.3999999999999998E-3</v>
      </c>
      <c r="I30" s="134">
        <f t="shared" si="1"/>
        <v>0</v>
      </c>
      <c r="J30" s="133">
        <f>'Aggregate emission factors'!E38</f>
        <v>5.0000000000000001E-4</v>
      </c>
      <c r="K30" s="134">
        <f t="shared" si="2"/>
        <v>0</v>
      </c>
    </row>
    <row r="31" spans="2:16" x14ac:dyDescent="0.25">
      <c r="B31" s="623"/>
      <c r="C31" s="136" t="s">
        <v>102</v>
      </c>
      <c r="D31" s="396">
        <v>0</v>
      </c>
      <c r="E31" s="397">
        <f t="shared" si="3"/>
        <v>0</v>
      </c>
      <c r="F31" s="133">
        <f>'Aggregate emission factors'!E16</f>
        <v>3.9E-2</v>
      </c>
      <c r="G31" s="204">
        <f t="shared" si="0"/>
        <v>0</v>
      </c>
      <c r="H31" s="133">
        <f>'Aggregate emission factors'!G16</f>
        <v>1.4999999999999999E-2</v>
      </c>
      <c r="I31" s="134">
        <f t="shared" si="1"/>
        <v>0</v>
      </c>
      <c r="J31" s="133">
        <f>'Aggregate emission factors'!E39</f>
        <v>3.4999999999999994E-4</v>
      </c>
      <c r="K31" s="134">
        <f t="shared" si="2"/>
        <v>0</v>
      </c>
    </row>
    <row r="32" spans="2:16" x14ac:dyDescent="0.25">
      <c r="B32" s="621" t="s">
        <v>103</v>
      </c>
      <c r="C32" s="132" t="s">
        <v>103</v>
      </c>
      <c r="D32" s="396">
        <v>0</v>
      </c>
      <c r="E32" s="397">
        <f t="shared" si="3"/>
        <v>0</v>
      </c>
      <c r="F32" s="133">
        <f>'Aggregate emission factors'!E18</f>
        <v>2.5000000000000001E-2</v>
      </c>
      <c r="G32" s="204">
        <f t="shared" si="0"/>
        <v>0</v>
      </c>
      <c r="H32" s="133">
        <f>'Aggregate emission factors'!G18</f>
        <v>8.6999999999999994E-3</v>
      </c>
      <c r="I32" s="134">
        <f t="shared" si="1"/>
        <v>0</v>
      </c>
      <c r="J32" s="133">
        <f>'Aggregate emission factors'!E40</f>
        <v>2.5000000000000001E-4</v>
      </c>
      <c r="K32" s="134">
        <f t="shared" si="2"/>
        <v>0</v>
      </c>
    </row>
    <row r="33" spans="2:11" x14ac:dyDescent="0.25">
      <c r="B33" s="623"/>
      <c r="C33" s="136" t="s">
        <v>104</v>
      </c>
      <c r="D33" s="396">
        <v>0</v>
      </c>
      <c r="E33" s="397">
        <f t="shared" si="3"/>
        <v>0</v>
      </c>
      <c r="F33" s="133">
        <f>'Aggregate emission factors'!E20</f>
        <v>0.3</v>
      </c>
      <c r="G33" s="204">
        <f t="shared" si="0"/>
        <v>0</v>
      </c>
      <c r="H33" s="133">
        <f>'Aggregate emission factors'!G20</f>
        <v>7.1999999999999995E-2</v>
      </c>
      <c r="I33" s="134">
        <f t="shared" si="1"/>
        <v>0</v>
      </c>
      <c r="J33" s="133">
        <f>'Aggregate emission factors'!E41</f>
        <v>2.5000000000000001E-3</v>
      </c>
      <c r="K33" s="134">
        <f t="shared" si="2"/>
        <v>0</v>
      </c>
    </row>
    <row r="34" spans="2:11" x14ac:dyDescent="0.25">
      <c r="B34" s="624" t="s">
        <v>130</v>
      </c>
      <c r="C34" s="625"/>
      <c r="D34" s="397">
        <f>F21*D28</f>
        <v>0</v>
      </c>
      <c r="E34" s="397">
        <f>D34*F21*8760</f>
        <v>0</v>
      </c>
      <c r="F34" s="133">
        <f>'Aggregate emission factors'!E22</f>
        <v>3.0000000000000001E-3</v>
      </c>
      <c r="G34" s="204">
        <f t="shared" si="0"/>
        <v>0</v>
      </c>
      <c r="H34" s="133">
        <f>'Aggregate emission factors'!G22</f>
        <v>1.1000000000000001E-3</v>
      </c>
      <c r="I34" s="134">
        <f t="shared" si="1"/>
        <v>0</v>
      </c>
      <c r="J34" s="133">
        <f>'Aggregate emission factors'!E42</f>
        <v>6.4999999999999994E-5</v>
      </c>
      <c r="K34" s="134">
        <f t="shared" si="2"/>
        <v>0</v>
      </c>
    </row>
    <row r="35" spans="2:11" x14ac:dyDescent="0.25">
      <c r="B35" s="137" t="s">
        <v>307</v>
      </c>
      <c r="C35" s="138"/>
      <c r="D35" s="138"/>
      <c r="E35" s="139"/>
      <c r="F35" s="140"/>
      <c r="G35" s="141">
        <f>SUM(G28:G34)</f>
        <v>0</v>
      </c>
      <c r="H35" s="141"/>
      <c r="I35" s="141">
        <f>SUM(I28:I34)</f>
        <v>0</v>
      </c>
      <c r="J35" s="141"/>
      <c r="K35" s="142">
        <f>SUM(K28:K34)</f>
        <v>0</v>
      </c>
    </row>
    <row r="36" spans="2:11" x14ac:dyDescent="0.25">
      <c r="B36" s="620" t="s">
        <v>127</v>
      </c>
      <c r="C36" s="620"/>
      <c r="D36" s="620"/>
      <c r="E36" s="620"/>
      <c r="F36" s="620"/>
      <c r="G36" s="620"/>
      <c r="H36" s="620"/>
      <c r="I36" s="620"/>
      <c r="J36" s="620"/>
    </row>
    <row r="37" spans="2:11" s="120" customFormat="1" ht="12.75" x14ac:dyDescent="0.2">
      <c r="B37" s="578"/>
      <c r="C37" s="578"/>
      <c r="D37" s="578"/>
      <c r="E37" s="578"/>
      <c r="F37" s="578"/>
      <c r="G37" s="578"/>
      <c r="H37" s="578"/>
      <c r="I37" s="578"/>
      <c r="J37" s="578"/>
      <c r="K37" s="122"/>
    </row>
    <row r="38" spans="2:11" x14ac:dyDescent="0.25">
      <c r="B38" s="556"/>
      <c r="C38" s="556"/>
      <c r="D38" s="556"/>
      <c r="E38" s="556"/>
      <c r="F38" s="556"/>
      <c r="G38" s="556"/>
      <c r="H38" s="556"/>
      <c r="I38" s="556"/>
      <c r="J38" s="556"/>
      <c r="K38" s="118"/>
    </row>
    <row r="39" spans="2:11" x14ac:dyDescent="0.25">
      <c r="B39" s="634" t="s">
        <v>477</v>
      </c>
      <c r="C39" s="634"/>
      <c r="D39" s="634"/>
      <c r="E39" s="634"/>
      <c r="F39" s="634"/>
      <c r="G39" s="634"/>
      <c r="H39" s="634"/>
      <c r="I39" s="634"/>
      <c r="J39" s="634"/>
      <c r="K39" s="634"/>
    </row>
    <row r="40" spans="2:11" x14ac:dyDescent="0.25">
      <c r="B40" s="633" t="s">
        <v>97</v>
      </c>
      <c r="C40" s="633"/>
      <c r="D40" s="633"/>
      <c r="E40" s="633"/>
      <c r="F40" s="633"/>
      <c r="G40" s="633"/>
      <c r="H40" s="633"/>
      <c r="I40" s="633"/>
      <c r="J40" s="633"/>
    </row>
    <row r="41" spans="2:11" x14ac:dyDescent="0.25">
      <c r="B41" s="631" t="s">
        <v>24</v>
      </c>
      <c r="C41" s="632"/>
      <c r="D41" s="127" t="s">
        <v>25</v>
      </c>
      <c r="E41" s="127" t="s">
        <v>26</v>
      </c>
      <c r="F41" s="127" t="s">
        <v>27</v>
      </c>
      <c r="G41" s="127" t="s">
        <v>28</v>
      </c>
      <c r="H41" s="127" t="s">
        <v>29</v>
      </c>
      <c r="I41" s="127" t="s">
        <v>30</v>
      </c>
      <c r="J41" s="127" t="s">
        <v>31</v>
      </c>
    </row>
    <row r="42" spans="2:11" x14ac:dyDescent="0.25">
      <c r="B42" s="627" t="s">
        <v>457</v>
      </c>
      <c r="C42" s="628"/>
      <c r="D42" s="626" t="s">
        <v>85</v>
      </c>
      <c r="E42" s="626" t="s">
        <v>33</v>
      </c>
      <c r="F42" s="626" t="s">
        <v>34</v>
      </c>
      <c r="G42" s="626" t="s">
        <v>303</v>
      </c>
      <c r="H42" s="626" t="s">
        <v>304</v>
      </c>
      <c r="I42" s="626" t="s">
        <v>308</v>
      </c>
      <c r="J42" s="626" t="s">
        <v>306</v>
      </c>
    </row>
    <row r="43" spans="2:11" x14ac:dyDescent="0.25">
      <c r="B43" s="627"/>
      <c r="C43" s="628"/>
      <c r="D43" s="626"/>
      <c r="E43" s="626"/>
      <c r="F43" s="626"/>
      <c r="G43" s="626"/>
      <c r="H43" s="626"/>
      <c r="I43" s="626"/>
      <c r="J43" s="626"/>
    </row>
    <row r="44" spans="2:11" x14ac:dyDescent="0.25">
      <c r="B44" s="627"/>
      <c r="C44" s="628"/>
      <c r="D44" s="401" t="s">
        <v>35</v>
      </c>
      <c r="E44" s="128" t="s">
        <v>36</v>
      </c>
      <c r="F44" s="128" t="s">
        <v>35</v>
      </c>
      <c r="G44" s="128" t="s">
        <v>36</v>
      </c>
      <c r="H44" s="128" t="s">
        <v>23</v>
      </c>
      <c r="I44" s="128" t="s">
        <v>36</v>
      </c>
      <c r="J44" s="128" t="s">
        <v>23</v>
      </c>
    </row>
    <row r="45" spans="2:11" x14ac:dyDescent="0.25">
      <c r="B45" s="629"/>
      <c r="C45" s="630"/>
      <c r="D45" s="129"/>
      <c r="E45" s="130"/>
      <c r="F45" s="131" t="s">
        <v>110</v>
      </c>
      <c r="G45" s="131"/>
      <c r="H45" s="131" t="s">
        <v>111</v>
      </c>
      <c r="I45" s="131"/>
      <c r="J45" s="131" t="s">
        <v>112</v>
      </c>
    </row>
    <row r="46" spans="2:11" x14ac:dyDescent="0.25">
      <c r="B46" s="621" t="s">
        <v>98</v>
      </c>
      <c r="C46" s="132" t="s">
        <v>99</v>
      </c>
      <c r="D46" s="396">
        <v>0</v>
      </c>
      <c r="E46" s="133">
        <f t="shared" ref="E46:E52" si="4">F28</f>
        <v>6.9999999999999999E-4</v>
      </c>
      <c r="F46" s="134">
        <f>$D46*E46/2000</f>
        <v>0</v>
      </c>
      <c r="G46" s="133">
        <f t="shared" ref="G46:G52" si="5">H28</f>
        <v>6.9999999999999999E-4</v>
      </c>
      <c r="H46" s="134">
        <f>$D46*G46/2000</f>
        <v>0</v>
      </c>
      <c r="I46" s="133">
        <f t="shared" ref="I46:I52" si="6">J28</f>
        <v>5.0000000000000001E-4</v>
      </c>
      <c r="J46" s="134">
        <f>$D46*I46/2000</f>
        <v>0</v>
      </c>
    </row>
    <row r="47" spans="2:11" x14ac:dyDescent="0.25">
      <c r="B47" s="622"/>
      <c r="C47" s="135" t="s">
        <v>100</v>
      </c>
      <c r="D47" s="396">
        <v>0</v>
      </c>
      <c r="E47" s="133">
        <f t="shared" si="4"/>
        <v>2.5000000000000001E-2</v>
      </c>
      <c r="F47" s="134">
        <f t="shared" ref="F47" si="7">$D47*E47/2000</f>
        <v>0</v>
      </c>
      <c r="G47" s="133">
        <f t="shared" si="5"/>
        <v>8.6999999999999994E-3</v>
      </c>
      <c r="H47" s="134">
        <f t="shared" ref="H47" si="8">$D47*G47/2000</f>
        <v>0</v>
      </c>
      <c r="I47" s="133">
        <f t="shared" si="6"/>
        <v>2.5000000000000001E-4</v>
      </c>
      <c r="J47" s="134">
        <f t="shared" ref="J47" si="9">$D47*I47/2000</f>
        <v>0</v>
      </c>
    </row>
    <row r="48" spans="2:11" x14ac:dyDescent="0.25">
      <c r="B48" s="622"/>
      <c r="C48" s="135" t="s">
        <v>101</v>
      </c>
      <c r="D48" s="396">
        <v>0</v>
      </c>
      <c r="E48" s="133">
        <f t="shared" si="4"/>
        <v>5.4000000000000003E-3</v>
      </c>
      <c r="F48" s="134">
        <f t="shared" ref="F48" si="10">$D48*E48/2000</f>
        <v>0</v>
      </c>
      <c r="G48" s="133">
        <f t="shared" si="5"/>
        <v>2.3999999999999998E-3</v>
      </c>
      <c r="H48" s="134">
        <f t="shared" ref="H48" si="11">$D48*G48/2000</f>
        <v>0</v>
      </c>
      <c r="I48" s="133">
        <f t="shared" si="6"/>
        <v>5.0000000000000001E-4</v>
      </c>
      <c r="J48" s="134">
        <f t="shared" ref="J48" si="12">$D48*I48/2000</f>
        <v>0</v>
      </c>
    </row>
    <row r="49" spans="2:10" x14ac:dyDescent="0.25">
      <c r="B49" s="623"/>
      <c r="C49" s="136" t="s">
        <v>102</v>
      </c>
      <c r="D49" s="396">
        <v>0</v>
      </c>
      <c r="E49" s="133">
        <f t="shared" si="4"/>
        <v>3.9E-2</v>
      </c>
      <c r="F49" s="134">
        <f t="shared" ref="F49" si="13">$D49*E49/2000</f>
        <v>0</v>
      </c>
      <c r="G49" s="133">
        <f t="shared" si="5"/>
        <v>1.4999999999999999E-2</v>
      </c>
      <c r="H49" s="134">
        <f t="shared" ref="H49" si="14">$D49*G49/2000</f>
        <v>0</v>
      </c>
      <c r="I49" s="133">
        <f t="shared" si="6"/>
        <v>3.4999999999999994E-4</v>
      </c>
      <c r="J49" s="134">
        <f t="shared" ref="J49" si="15">$D49*I49/2000</f>
        <v>0</v>
      </c>
    </row>
    <row r="50" spans="2:10" x14ac:dyDescent="0.25">
      <c r="B50" s="621" t="s">
        <v>103</v>
      </c>
      <c r="C50" s="132" t="s">
        <v>103</v>
      </c>
      <c r="D50" s="396">
        <v>0</v>
      </c>
      <c r="E50" s="133">
        <f t="shared" si="4"/>
        <v>2.5000000000000001E-2</v>
      </c>
      <c r="F50" s="134">
        <f t="shared" ref="F50" si="16">$D50*E50/2000</f>
        <v>0</v>
      </c>
      <c r="G50" s="133">
        <f t="shared" si="5"/>
        <v>8.6999999999999994E-3</v>
      </c>
      <c r="H50" s="134">
        <f t="shared" ref="H50" si="17">$D50*G50/2000</f>
        <v>0</v>
      </c>
      <c r="I50" s="133">
        <f t="shared" si="6"/>
        <v>2.5000000000000001E-4</v>
      </c>
      <c r="J50" s="134">
        <f t="shared" ref="J50" si="18">$D50*I50/2000</f>
        <v>0</v>
      </c>
    </row>
    <row r="51" spans="2:10" x14ac:dyDescent="0.25">
      <c r="B51" s="623"/>
      <c r="C51" s="136" t="s">
        <v>104</v>
      </c>
      <c r="D51" s="396">
        <v>0</v>
      </c>
      <c r="E51" s="133">
        <f t="shared" si="4"/>
        <v>0.3</v>
      </c>
      <c r="F51" s="134">
        <f t="shared" ref="F51" si="19">$D51*E51/2000</f>
        <v>0</v>
      </c>
      <c r="G51" s="133">
        <f t="shared" si="5"/>
        <v>7.1999999999999995E-2</v>
      </c>
      <c r="H51" s="134">
        <f t="shared" ref="H51" si="20">$D51*G51/2000</f>
        <v>0</v>
      </c>
      <c r="I51" s="133">
        <f t="shared" si="6"/>
        <v>2.5000000000000001E-3</v>
      </c>
      <c r="J51" s="134">
        <f t="shared" ref="J51" si="21">$D51*I51/2000</f>
        <v>0</v>
      </c>
    </row>
    <row r="52" spans="2:10" s="143" customFormat="1" x14ac:dyDescent="0.25">
      <c r="B52" s="624" t="s">
        <v>130</v>
      </c>
      <c r="C52" s="625"/>
      <c r="D52" s="396">
        <v>0</v>
      </c>
      <c r="E52" s="133">
        <f t="shared" si="4"/>
        <v>3.0000000000000001E-3</v>
      </c>
      <c r="F52" s="134">
        <f t="shared" ref="F52" si="22">$D52*E52/2000</f>
        <v>0</v>
      </c>
      <c r="G52" s="133">
        <f t="shared" si="5"/>
        <v>1.1000000000000001E-3</v>
      </c>
      <c r="H52" s="134">
        <f t="shared" ref="H52" si="23">$D52*G52/2000</f>
        <v>0</v>
      </c>
      <c r="I52" s="133">
        <f t="shared" si="6"/>
        <v>6.4999999999999994E-5</v>
      </c>
      <c r="J52" s="134">
        <f t="shared" ref="J52" si="24">$D52*I52/2000</f>
        <v>0</v>
      </c>
    </row>
    <row r="53" spans="2:10" x14ac:dyDescent="0.25">
      <c r="B53" s="137" t="s">
        <v>307</v>
      </c>
      <c r="C53" s="144"/>
      <c r="D53" s="145"/>
      <c r="E53" s="146"/>
      <c r="F53" s="141">
        <f>SUM(F46:F52)</f>
        <v>0</v>
      </c>
      <c r="G53" s="141"/>
      <c r="H53" s="141">
        <f>SUM(H46:H52)</f>
        <v>0</v>
      </c>
      <c r="I53" s="141"/>
      <c r="J53" s="142">
        <f>SUM(J46:J52)</f>
        <v>0</v>
      </c>
    </row>
    <row r="54" spans="2:10" x14ac:dyDescent="0.25">
      <c r="B54" s="620" t="s">
        <v>127</v>
      </c>
      <c r="C54" s="620"/>
      <c r="D54" s="620"/>
      <c r="E54" s="620"/>
      <c r="F54" s="620"/>
      <c r="G54" s="620"/>
      <c r="H54" s="620"/>
      <c r="I54" s="620"/>
      <c r="J54" s="620"/>
    </row>
  </sheetData>
  <protectedRanges>
    <protectedRange sqref="F21" name="Aggregate"/>
  </protectedRanges>
  <mergeCells count="52">
    <mergeCell ref="B3:K3"/>
    <mergeCell ref="J5:K5"/>
    <mergeCell ref="J6:K6"/>
    <mergeCell ref="J7:K7"/>
    <mergeCell ref="C7:E7"/>
    <mergeCell ref="B21:E21"/>
    <mergeCell ref="B18:K19"/>
    <mergeCell ref="B15:K15"/>
    <mergeCell ref="B2:K2"/>
    <mergeCell ref="B1:K1"/>
    <mergeCell ref="C5:E5"/>
    <mergeCell ref="C6:E6"/>
    <mergeCell ref="G5:H5"/>
    <mergeCell ref="G21:I21"/>
    <mergeCell ref="B16:J16"/>
    <mergeCell ref="B17:K17"/>
    <mergeCell ref="C8:E8"/>
    <mergeCell ref="C9:E9"/>
    <mergeCell ref="G6:H7"/>
    <mergeCell ref="G8:H8"/>
    <mergeCell ref="C11:J13"/>
    <mergeCell ref="B23:C23"/>
    <mergeCell ref="B28:B31"/>
    <mergeCell ref="B32:B33"/>
    <mergeCell ref="B34:C34"/>
    <mergeCell ref="B36:J36"/>
    <mergeCell ref="F24:F25"/>
    <mergeCell ref="G24:G25"/>
    <mergeCell ref="H24:H25"/>
    <mergeCell ref="I24:I25"/>
    <mergeCell ref="J24:J25"/>
    <mergeCell ref="K24:K25"/>
    <mergeCell ref="B24:C27"/>
    <mergeCell ref="B40:J40"/>
    <mergeCell ref="B37:J37"/>
    <mergeCell ref="B38:J38"/>
    <mergeCell ref="B39:K39"/>
    <mergeCell ref="D24:D25"/>
    <mergeCell ref="B54:J54"/>
    <mergeCell ref="B46:B49"/>
    <mergeCell ref="B50:B51"/>
    <mergeCell ref="B52:C52"/>
    <mergeCell ref="E24:E25"/>
    <mergeCell ref="I42:I43"/>
    <mergeCell ref="J42:J43"/>
    <mergeCell ref="B42:C45"/>
    <mergeCell ref="D42:D43"/>
    <mergeCell ref="E42:E43"/>
    <mergeCell ref="F42:F43"/>
    <mergeCell ref="G42:G43"/>
    <mergeCell ref="H42:H43"/>
    <mergeCell ref="B41:C41"/>
  </mergeCells>
  <conditionalFormatting sqref="O11:O14">
    <cfRule type="containsErrors" dxfId="41" priority="1">
      <formula>ISERROR(O11)</formula>
    </cfRule>
  </conditionalFormatting>
  <conditionalFormatting sqref="O16:O18 O22">
    <cfRule type="containsErrors" dxfId="40" priority="18">
      <formula>ISERROR(O16)</formula>
    </cfRule>
  </conditionalFormatting>
  <hyperlinks>
    <hyperlink ref="J6:K6" r:id="rId1" display="Use the Compliance Calendar" xr:uid="{00000000-0004-0000-0300-000000000000}"/>
  </hyperlinks>
  <pageMargins left="0.25" right="0.25" top="0.75" bottom="0.75" header="0.3" footer="0.3"/>
  <pageSetup scale="92" fitToHeight="0" orientation="landscape" verticalDpi="1200" r:id="rId2"/>
  <headerFooter>
    <oddFooter>&amp;L&amp;"Arial,Italic"&amp;8p-sbap5-30&amp;C&amp;"Arial,Italic"&amp;8https://www.pca.state.mn.us  •  Available in alternative formats  •  Use your preferred relay service&amp;R&amp;10Page &amp;P of &amp;N</oddFooter>
    <firstFooter>&amp;L&amp;10Grain and Commodity Calculator - Instructions&amp;R&amp;10&amp;P</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CF09E-6D6A-43DE-B29E-1129C22ACBB1}">
  <sheetPr codeName="Sheet7">
    <tabColor rgb="FFD1EAFF"/>
    <pageSetUpPr fitToPage="1"/>
  </sheetPr>
  <dimension ref="A1:T400"/>
  <sheetViews>
    <sheetView showGridLines="0" zoomScaleNormal="100" zoomScaleSheetLayoutView="100" zoomScalePageLayoutView="85" workbookViewId="0">
      <selection activeCell="E6" sqref="E6:F6"/>
    </sheetView>
  </sheetViews>
  <sheetFormatPr defaultColWidth="8.85546875" defaultRowHeight="15" x14ac:dyDescent="0.25"/>
  <cols>
    <col min="1" max="1" width="5.140625" style="3" customWidth="1"/>
    <col min="2" max="2" width="21.140625" style="3" customWidth="1"/>
    <col min="3" max="3" width="9" style="3" customWidth="1"/>
    <col min="4" max="5" width="17.85546875" style="3" customWidth="1"/>
    <col min="6" max="6" width="19.28515625" style="3" customWidth="1"/>
    <col min="7" max="9" width="17.85546875" style="3" customWidth="1"/>
    <col min="10" max="10" width="16" style="3" customWidth="1"/>
    <col min="11" max="13" width="12" style="6" customWidth="1"/>
    <col min="14" max="18" width="8.85546875" style="6"/>
    <col min="19" max="20" width="8.85546875" style="295"/>
    <col min="21" max="16384" width="8.85546875" style="3"/>
  </cols>
  <sheetData>
    <row r="1" spans="1:20" x14ac:dyDescent="0.25">
      <c r="B1" s="654" t="str">
        <f>Instructions!G2</f>
        <v>p-sbap5-30 • 7/31/25</v>
      </c>
      <c r="C1" s="654"/>
      <c r="D1" s="654"/>
      <c r="E1" s="654"/>
      <c r="F1" s="654"/>
      <c r="G1" s="654"/>
      <c r="H1" s="654"/>
      <c r="I1" s="654"/>
      <c r="J1" s="654"/>
    </row>
    <row r="2" spans="1:20" ht="19.5" thickBot="1" x14ac:dyDescent="0.3">
      <c r="B2" s="566" t="s">
        <v>649</v>
      </c>
      <c r="C2" s="566"/>
      <c r="D2" s="566"/>
      <c r="E2" s="566"/>
      <c r="F2" s="566"/>
      <c r="G2" s="566"/>
      <c r="H2" s="566"/>
      <c r="I2" s="566"/>
      <c r="J2" s="566"/>
      <c r="K2" s="3"/>
      <c r="L2" s="3"/>
      <c r="M2" s="3"/>
      <c r="N2" s="3"/>
      <c r="O2" s="3"/>
      <c r="P2" s="3"/>
      <c r="Q2" s="3"/>
      <c r="R2" s="3"/>
      <c r="S2" s="3"/>
      <c r="T2" s="3"/>
    </row>
    <row r="3" spans="1:20" s="296" customFormat="1" ht="14.25" x14ac:dyDescent="0.2">
      <c r="B3" s="655" t="s">
        <v>650</v>
      </c>
      <c r="C3" s="655"/>
      <c r="D3" s="655"/>
      <c r="E3" s="655"/>
      <c r="F3" s="655"/>
      <c r="G3" s="655"/>
      <c r="H3" s="655"/>
      <c r="I3" s="655"/>
      <c r="J3" s="213"/>
    </row>
    <row r="4" spans="1:20" s="296" customFormat="1" x14ac:dyDescent="0.25">
      <c r="B4" s="511"/>
      <c r="C4" s="462"/>
      <c r="D4" s="462"/>
      <c r="E4" s="462"/>
      <c r="F4" s="462"/>
      <c r="G4" s="462"/>
      <c r="H4" s="462"/>
      <c r="I4" s="462"/>
      <c r="J4" s="213"/>
    </row>
    <row r="5" spans="1:20" s="296" customFormat="1" ht="15.75" customHeight="1" x14ac:dyDescent="0.25">
      <c r="A5" s="467"/>
      <c r="B5" s="514" t="s">
        <v>651</v>
      </c>
      <c r="C5" s="513"/>
      <c r="D5" s="512"/>
      <c r="E5" s="512"/>
      <c r="F5" s="512"/>
      <c r="G5" s="512"/>
      <c r="H5" s="213"/>
      <c r="I5" s="213"/>
    </row>
    <row r="6" spans="1:20" s="296" customFormat="1" ht="15.75" customHeight="1" x14ac:dyDescent="0.25">
      <c r="A6" s="467"/>
      <c r="B6" s="515"/>
      <c r="C6" s="515"/>
      <c r="D6" s="463" t="s">
        <v>131</v>
      </c>
      <c r="E6" s="656" t="s">
        <v>93</v>
      </c>
      <c r="F6" s="657"/>
      <c r="G6" s="658"/>
      <c r="H6" s="658"/>
      <c r="I6" s="462"/>
    </row>
    <row r="7" spans="1:20" s="296" customFormat="1" ht="15" customHeight="1" x14ac:dyDescent="0.2">
      <c r="B7" s="515"/>
      <c r="C7" s="515"/>
      <c r="D7" s="463" t="s">
        <v>132</v>
      </c>
      <c r="E7" s="297" t="s">
        <v>93</v>
      </c>
      <c r="F7" s="516"/>
      <c r="G7" s="517"/>
      <c r="H7" s="517"/>
      <c r="I7" s="517"/>
      <c r="J7" s="213"/>
      <c r="K7" s="6"/>
    </row>
    <row r="8" spans="1:20" s="296" customFormat="1" ht="15" customHeight="1" x14ac:dyDescent="0.2">
      <c r="C8" s="515"/>
      <c r="D8" s="463" t="str">
        <f>IF($E$6='Data validation'!$A$6," ",IF(OR($E$6=rd,$E$6=rg),"Rated mechanical output",IF(OR($E$6=pro,OR($E$6=ngl,OR($E$6=ngr,OR($E$6=tng,$E$6=ng2l)))),"Rated fuel input"," ")))</f>
        <v xml:space="preserve"> </v>
      </c>
      <c r="E8" s="298">
        <v>0</v>
      </c>
      <c r="F8" s="517" t="str">
        <f>IF($D$8=" "," ",IF($D$8="Rated mechanical output",'Data validation'!$A$24,IF(AND($D$8="Rated fuel input",$E$6=pro),'Data validation'!$A$26,'Data validation'!$A$25)))</f>
        <v xml:space="preserve"> </v>
      </c>
      <c r="G8" s="517"/>
      <c r="H8" s="517"/>
      <c r="I8" s="517"/>
      <c r="J8" s="213"/>
      <c r="K8" s="213"/>
      <c r="R8" s="6"/>
      <c r="S8" s="6"/>
      <c r="T8" s="6"/>
    </row>
    <row r="9" spans="1:20" s="296" customFormat="1" ht="15" customHeight="1" x14ac:dyDescent="0.2">
      <c r="B9" s="659" t="s">
        <v>398</v>
      </c>
      <c r="C9" s="660"/>
      <c r="D9" s="661"/>
      <c r="E9" s="298">
        <v>0</v>
      </c>
      <c r="F9" s="516" t="str">
        <f>IF($B$9='Data validation'!$B$5," ",IF($B$9='Data validation'!$B$6,'Data validation'!$B$11,IF(AND($B$9='Data validation'!$B$7,OR($E$6=tng,OR($E$6=ngl,OR($E$6=ngr,OR($E$6=ng2l))))),'Data validation'!$B$12,IF(AND($B$9='Data validation'!$B$7,OR($E$6=rd,OR($E$6=rg,OR($E$6=pro)))),'Data validation'!$B$13," "))))</f>
        <v xml:space="preserve"> </v>
      </c>
      <c r="G9" s="517"/>
      <c r="H9" s="517"/>
      <c r="I9" s="517"/>
      <c r="J9" s="213"/>
      <c r="K9" s="213"/>
      <c r="R9" s="6"/>
      <c r="S9" s="6"/>
      <c r="T9" s="6"/>
    </row>
    <row r="10" spans="1:20" s="296" customFormat="1" ht="15" customHeight="1" x14ac:dyDescent="0.2">
      <c r="C10" s="6"/>
      <c r="D10" s="464" t="str">
        <f>IF($F$8=" "," ",IF($F$8='Data validation'!$A$24,'Data validation'!$A$29,IF(OR($F$8='Data validation'!$A$25,$F$8='Data validation'!$A$26),'Data validation'!$A$30)))</f>
        <v xml:space="preserve"> </v>
      </c>
      <c r="E10" s="300" t="str">
        <f>IF(E6='Data validation'!A6," ",IF(E6=rd,'Engine emission factors'!F53,IF(E6=rg,'Engine emission factors'!F54,IF(OR(E6=ngl,OR(E6=ngr,OR(E6=tng,E6=ng2l))),'Engine emission factors'!G52,IF(E6=pro,'Engine emission factors'!H55," ")))))</f>
        <v xml:space="preserve"> </v>
      </c>
      <c r="F10" s="315" t="str">
        <f>IF($D$10=" "," ",IF($D$10='Data validation'!$A$29,"(Btu/HP-hr)",IF(AND($D$10='Data validation'!$A$30,$E$6=pro),"(Btu/gal)",IF($D$10='Data validation'!$A$30,"(Btu/scf)"))))</f>
        <v xml:space="preserve"> </v>
      </c>
      <c r="G10" s="315"/>
      <c r="H10" s="315"/>
      <c r="I10" s="315"/>
      <c r="J10" s="213"/>
      <c r="K10" s="213"/>
      <c r="M10" s="6"/>
      <c r="N10" s="6"/>
      <c r="O10" s="6"/>
      <c r="P10" s="6"/>
      <c r="Q10" s="6"/>
      <c r="R10" s="6"/>
      <c r="S10" s="6"/>
      <c r="T10" s="6"/>
    </row>
    <row r="11" spans="1:20" s="296" customFormat="1" ht="15" customHeight="1" x14ac:dyDescent="0.2">
      <c r="C11" s="6"/>
      <c r="D11" s="464" t="str">
        <f>IF($E$6='Data validation'!$A$6," ",IF($E$6=rd,"Heat value of fuel",IF($E$6=rg,"Heat value of fuel"," ")))</f>
        <v xml:space="preserve"> </v>
      </c>
      <c r="E11" s="300" t="str">
        <f>IF(E6=rd,'Engine emission factors'!H53,IF(E6=rg,'Engine emission factors'!H54," "))</f>
        <v xml:space="preserve"> </v>
      </c>
      <c r="F11" s="315" t="str">
        <f>IF($E$6='Data validation'!$A$6," ",IF($E$6=rd,"(Btu/gal)",IF($E$6=rg,"(Btu/gal)"," ")))</f>
        <v xml:space="preserve"> </v>
      </c>
      <c r="G11" s="315"/>
      <c r="H11" s="315"/>
      <c r="I11" s="315"/>
      <c r="J11" s="213"/>
      <c r="K11" s="213"/>
      <c r="P11" s="6"/>
      <c r="Q11" s="6"/>
      <c r="R11" s="6"/>
      <c r="S11" s="6"/>
      <c r="T11" s="6"/>
    </row>
    <row r="12" spans="1:20" s="296" customFormat="1" ht="15" customHeight="1" x14ac:dyDescent="0.2">
      <c r="B12" s="662" t="s">
        <v>133</v>
      </c>
      <c r="C12" s="662"/>
      <c r="D12" s="662"/>
      <c r="E12" s="301" t="str">
        <f>IF(E6=rd,"0.0015",IF(E6=pro,"0.54",IF(E6=tng,"0.00065","NA")))</f>
        <v>NA</v>
      </c>
      <c r="F12" s="517" t="str">
        <f>IF(OR(E6=rd,E6=tng),"%",IF(E6=pro,"gr/100ft3",""))</f>
        <v/>
      </c>
      <c r="G12" s="517"/>
      <c r="H12" s="517"/>
      <c r="I12" s="517"/>
      <c r="J12" s="213"/>
      <c r="K12" s="213"/>
      <c r="P12" s="6"/>
      <c r="Q12" s="6"/>
      <c r="R12" s="6"/>
      <c r="S12" s="6"/>
      <c r="T12" s="6"/>
    </row>
    <row r="13" spans="1:20" s="296" customFormat="1" ht="15" customHeight="1" x14ac:dyDescent="0.2">
      <c r="B13" s="663"/>
      <c r="C13" s="663"/>
      <c r="D13" s="663"/>
      <c r="E13" s="663"/>
      <c r="F13" s="663"/>
      <c r="G13" s="663"/>
      <c r="H13" s="663"/>
      <c r="I13" s="663"/>
      <c r="J13" s="213"/>
      <c r="K13" s="213"/>
      <c r="P13" s="6"/>
      <c r="Q13" s="6"/>
      <c r="R13" s="6"/>
      <c r="S13" s="6"/>
      <c r="T13" s="6"/>
    </row>
    <row r="14" spans="1:20" s="296" customFormat="1" ht="15" customHeight="1" thickBot="1" x14ac:dyDescent="0.25">
      <c r="B14" s="664" t="s">
        <v>399</v>
      </c>
      <c r="C14" s="664"/>
      <c r="D14" s="664"/>
      <c r="E14" s="664"/>
      <c r="F14" s="664"/>
      <c r="G14" s="664"/>
      <c r="H14" s="664"/>
      <c r="I14" s="664"/>
      <c r="J14" s="213"/>
      <c r="K14" s="213"/>
      <c r="P14" s="6"/>
      <c r="Q14" s="6"/>
      <c r="R14" s="6"/>
      <c r="S14" s="6"/>
      <c r="T14" s="6"/>
    </row>
    <row r="15" spans="1:20" s="296" customFormat="1" ht="15" customHeight="1" x14ac:dyDescent="0.2">
      <c r="B15" s="303"/>
      <c r="C15" s="304" t="s">
        <v>24</v>
      </c>
      <c r="D15" s="305" t="s">
        <v>25</v>
      </c>
      <c r="E15" s="305" t="s">
        <v>26</v>
      </c>
      <c r="F15" s="304" t="s">
        <v>27</v>
      </c>
      <c r="G15" s="304" t="s">
        <v>28</v>
      </c>
      <c r="H15" s="306"/>
      <c r="I15" s="307"/>
      <c r="J15" s="308"/>
      <c r="K15" s="213"/>
      <c r="N15" s="6"/>
      <c r="O15" s="6"/>
      <c r="P15" s="6"/>
      <c r="Q15" s="6"/>
      <c r="R15" s="6"/>
      <c r="S15" s="6"/>
      <c r="T15" s="6"/>
    </row>
    <row r="16" spans="1:20" s="296" customFormat="1" ht="15" customHeight="1" x14ac:dyDescent="0.2">
      <c r="B16" s="665" t="s">
        <v>38</v>
      </c>
      <c r="C16" s="666" t="s">
        <v>400</v>
      </c>
      <c r="D16" s="667" t="s">
        <v>401</v>
      </c>
      <c r="E16" s="667" t="s">
        <v>402</v>
      </c>
      <c r="F16" s="667" t="s">
        <v>403</v>
      </c>
      <c r="G16" s="667" t="s">
        <v>39</v>
      </c>
      <c r="H16" s="668" t="s">
        <v>40</v>
      </c>
      <c r="I16" s="669" t="s">
        <v>41</v>
      </c>
      <c r="J16" s="670" t="s">
        <v>404</v>
      </c>
      <c r="K16" s="213"/>
      <c r="N16" s="6"/>
      <c r="O16" s="6"/>
      <c r="P16" s="6"/>
      <c r="Q16" s="6"/>
      <c r="R16" s="6"/>
      <c r="S16" s="6"/>
      <c r="T16" s="6"/>
    </row>
    <row r="17" spans="2:20" s="296" customFormat="1" ht="15" customHeight="1" x14ac:dyDescent="0.2">
      <c r="B17" s="665"/>
      <c r="C17" s="666"/>
      <c r="D17" s="667"/>
      <c r="E17" s="667"/>
      <c r="F17" s="667"/>
      <c r="G17" s="667"/>
      <c r="H17" s="668"/>
      <c r="I17" s="669"/>
      <c r="J17" s="670"/>
      <c r="K17" s="213"/>
      <c r="N17" s="6"/>
      <c r="O17" s="6"/>
      <c r="P17" s="6"/>
      <c r="Q17" s="6"/>
      <c r="R17" s="6"/>
      <c r="S17" s="6"/>
      <c r="T17" s="6"/>
    </row>
    <row r="18" spans="2:20" s="296" customFormat="1" ht="15" customHeight="1" x14ac:dyDescent="0.2">
      <c r="B18" s="309"/>
      <c r="C18" s="310"/>
      <c r="D18" s="311" t="s">
        <v>652</v>
      </c>
      <c r="E18" s="311" t="s">
        <v>405</v>
      </c>
      <c r="F18" s="312" t="s">
        <v>42</v>
      </c>
      <c r="G18" s="312" t="s">
        <v>135</v>
      </c>
      <c r="H18" s="313" t="s">
        <v>43</v>
      </c>
      <c r="I18" s="314" t="s">
        <v>44</v>
      </c>
      <c r="J18" s="671" t="s">
        <v>44</v>
      </c>
      <c r="K18" s="6"/>
      <c r="N18" s="6"/>
      <c r="O18" s="6"/>
      <c r="P18" s="6"/>
      <c r="Q18" s="6"/>
      <c r="R18" s="6"/>
      <c r="S18" s="6"/>
      <c r="T18" s="6"/>
    </row>
    <row r="19" spans="2:20" s="315" customFormat="1" ht="15" customHeight="1" thickBot="1" x14ac:dyDescent="0.25">
      <c r="B19" s="316"/>
      <c r="C19" s="317"/>
      <c r="D19" s="318">
        <f>IF(E6=select,0,IF(OR(E6=rd,E6=rg),(E8*E10/10^6),IF(E6=pro,(E8*E10/10^6),IF(OR(E6=ngl,OR(E6=ngr,OR(E6=tng,E6=ng2l))),(E8*E10/(10^6))))))</f>
        <v>0</v>
      </c>
      <c r="E19" s="318">
        <f>IF(F9='Data validation'!B12,E9,IF(AND(F9='Data validation'!B13,E6=rd),(('Engine emission factors'!H53*E9)/1000000),IF(AND(F9='Data validation'!B13,E6=rg),(('Engine emission factors'!H54*E9)/1000000),IF(AND(F9='Data validation'!B13,E6=pro),(('Engine emission factors'!H55*E9)/1000000),IF(F9='Data validation'!B11,(E9*D19),IF(F9=" ",0))))))</f>
        <v>0</v>
      </c>
      <c r="F19" s="319">
        <f>IF($E$7=so,0,IF($E$7=Routine,8760,IF($E$7=Emer,500)))</f>
        <v>0</v>
      </c>
      <c r="G19" s="320" t="s">
        <v>58</v>
      </c>
      <c r="H19" s="313" t="s">
        <v>406</v>
      </c>
      <c r="I19" s="314" t="s">
        <v>479</v>
      </c>
      <c r="J19" s="672"/>
      <c r="K19" s="6"/>
      <c r="M19" s="6"/>
      <c r="N19" s="6"/>
      <c r="O19" s="6"/>
      <c r="P19" s="6"/>
      <c r="Q19" s="6"/>
      <c r="R19" s="6"/>
      <c r="S19" s="6"/>
      <c r="T19" s="6"/>
    </row>
    <row r="20" spans="2:20" s="296" customFormat="1" ht="15" customHeight="1" x14ac:dyDescent="0.2">
      <c r="B20" s="321" t="s">
        <v>61</v>
      </c>
      <c r="C20" s="322"/>
      <c r="D20" s="323"/>
      <c r="E20" s="324"/>
      <c r="F20" s="325"/>
      <c r="G20" s="326"/>
      <c r="H20" s="327"/>
      <c r="I20" s="328" t="s">
        <v>407</v>
      </c>
      <c r="J20" s="329"/>
      <c r="K20" s="6"/>
      <c r="M20" s="6"/>
      <c r="N20" s="6"/>
      <c r="O20" s="6"/>
      <c r="P20" s="6"/>
      <c r="Q20" s="6"/>
      <c r="R20" s="6"/>
      <c r="S20" s="6"/>
      <c r="T20" s="6"/>
    </row>
    <row r="21" spans="2:20" s="296" customFormat="1" ht="15" customHeight="1" x14ac:dyDescent="0.2">
      <c r="B21" s="330" t="s">
        <v>45</v>
      </c>
      <c r="D21" s="331"/>
      <c r="E21" s="332"/>
      <c r="F21" s="333"/>
      <c r="G21" s="334">
        <f>IF($E$6=rd,IF($E$8&gt;=600,'Engine emission factors'!$C5,'Engine emission factors'!$B5),IF($E$6=rg,'Engine emission factors'!$E5,IF($E$6=tng,'Engine emission factors'!$D5,IF($E$6=ngr,'Engine emission factors'!$F5,IF($E$6=ngl,'Engine emission factors'!$G5,IF($E$6=ng2l,'Engine emission factors'!$H5,IF($E$6=pro,'Engine emission factors'!$I5,IF($E$6=select,'Engine emission factors'!$AA5))))))))</f>
        <v>0</v>
      </c>
      <c r="H21" s="335">
        <f>$D$19*$F$19*$G21/2000</f>
        <v>0</v>
      </c>
      <c r="I21" s="336">
        <f>($E$19*$G21)/2000</f>
        <v>0</v>
      </c>
      <c r="J21" s="337">
        <v>1</v>
      </c>
      <c r="K21" s="6"/>
      <c r="L21" s="213"/>
      <c r="M21" s="6"/>
      <c r="N21" s="6"/>
      <c r="O21" s="6"/>
      <c r="P21" s="6"/>
      <c r="Q21" s="6"/>
      <c r="R21" s="6"/>
      <c r="S21" s="6"/>
      <c r="T21" s="6"/>
    </row>
    <row r="22" spans="2:20" s="296" customFormat="1" ht="15" customHeight="1" x14ac:dyDescent="0.2">
      <c r="B22" s="330" t="s">
        <v>46</v>
      </c>
      <c r="D22" s="331"/>
      <c r="E22" s="332"/>
      <c r="F22" s="333"/>
      <c r="G22" s="334">
        <f>IF($E$6=rd,IF($E$8&gt;=600,'Engine emission factors'!$C6,'Engine emission factors'!$B6),IF($E$6=rg,'Engine emission factors'!$E6,IF($E$6=tng,'Engine emission factors'!$D6,IF($E$6=ngr,'Engine emission factors'!$F6,IF($E$6=ngl,'Engine emission factors'!$G6,IF($E$6=ng2l,'Engine emission factors'!$H6,IF($E$6=pro,'Engine emission factors'!$I6,IF($E$6=select,'Engine emission factors'!$AA6))))))))</f>
        <v>0</v>
      </c>
      <c r="H22" s="338">
        <f t="shared" ref="H22:H27" si="0">$D$19*$F$19*$G22/2000</f>
        <v>0</v>
      </c>
      <c r="I22" s="336">
        <f t="shared" ref="I22:I27" si="1">($E$19*$G22)/2000</f>
        <v>0</v>
      </c>
      <c r="J22" s="339">
        <v>1</v>
      </c>
      <c r="K22" s="6"/>
      <c r="L22" s="6"/>
      <c r="M22" s="6"/>
      <c r="N22" s="6"/>
      <c r="O22" s="6"/>
      <c r="P22" s="6"/>
      <c r="Q22" s="6"/>
      <c r="R22" s="6"/>
      <c r="S22" s="6"/>
      <c r="T22" s="6"/>
    </row>
    <row r="23" spans="2:20" s="296" customFormat="1" ht="15" customHeight="1" x14ac:dyDescent="0.2">
      <c r="B23" s="330" t="s">
        <v>84</v>
      </c>
      <c r="D23" s="331"/>
      <c r="E23" s="332"/>
      <c r="F23" s="333"/>
      <c r="G23" s="334">
        <f>IF($E$6=rd,IF($E$8&gt;=600,'Engine emission factors'!$C7,'Engine emission factors'!$B7),IF($E$6=rg,'Engine emission factors'!$E7,IF($E$6=tng,'Engine emission factors'!$D7,IF($E$6=ngr,'Engine emission factors'!$F7,IF($E$6=ngl,'Engine emission factors'!$G7,IF($E$6=ng2l,'Engine emission factors'!$H7,IF($E$6=pro,'Engine emission factors'!$I7,IF($E$6=select,'Engine emission factors'!$AA7))))))))</f>
        <v>0</v>
      </c>
      <c r="H23" s="338">
        <f t="shared" si="0"/>
        <v>0</v>
      </c>
      <c r="I23" s="336">
        <f t="shared" si="1"/>
        <v>0</v>
      </c>
      <c r="J23" s="340"/>
      <c r="K23" s="6"/>
      <c r="L23" s="6"/>
      <c r="M23" s="302"/>
      <c r="N23" s="6"/>
      <c r="O23" s="6"/>
      <c r="P23" s="6"/>
      <c r="Q23" s="6"/>
      <c r="R23" s="6"/>
      <c r="S23" s="6"/>
      <c r="T23" s="6"/>
    </row>
    <row r="24" spans="2:20" s="296" customFormat="1" ht="15" customHeight="1" x14ac:dyDescent="0.2">
      <c r="B24" s="330" t="s">
        <v>47</v>
      </c>
      <c r="D24" s="331"/>
      <c r="E24" s="332"/>
      <c r="F24" s="333"/>
      <c r="G24" s="334">
        <f>IF($E$6=rd,IF($E$8&gt;=600,'Engine emission factors'!$C8*$E$12,'Engine emission factors'!$B8*$E$12),IF($E$6=rg,'Engine emission factors'!$E8,IF($E$6=tng,'Engine emission factors'!$D8*$E$12,IF($E$6=ngr,'Engine emission factors'!$F8,IF($E$6=ngl,'Engine emission factors'!$G8,IF($E$6=ng2l,'Engine emission factors'!$H8,IF($E$6=pro,'Engine emission factors'!$I8*$E$12,IF($E$6=select,'Engine emission factors'!$AA8))))))))</f>
        <v>0</v>
      </c>
      <c r="H24" s="338">
        <f t="shared" si="0"/>
        <v>0</v>
      </c>
      <c r="I24" s="336">
        <f t="shared" si="1"/>
        <v>0</v>
      </c>
      <c r="J24" s="339">
        <v>1</v>
      </c>
      <c r="K24" s="6"/>
      <c r="L24" s="6"/>
      <c r="M24" s="6"/>
      <c r="N24" s="6"/>
      <c r="O24" s="6"/>
      <c r="P24" s="6"/>
      <c r="Q24" s="6"/>
      <c r="R24" s="6"/>
      <c r="S24" s="6"/>
      <c r="T24" s="6"/>
    </row>
    <row r="25" spans="2:20" s="296" customFormat="1" ht="15" customHeight="1" x14ac:dyDescent="0.2">
      <c r="B25" s="330" t="s">
        <v>48</v>
      </c>
      <c r="D25" s="331"/>
      <c r="E25" s="332"/>
      <c r="F25" s="333"/>
      <c r="G25" s="334">
        <f>IF($E$6=rd,IF($E$8&gt;=600,'Engine emission factors'!$C9,'Engine emission factors'!$B9),IF($E$6=rg,'Engine emission factors'!$E9,IF($E$6=tng,'Engine emission factors'!$D9,IF($E$6=ngr,'Engine emission factors'!$F9,IF($E$6=ngl,'Engine emission factors'!$G9,IF($E$6=ng2l,'Engine emission factors'!$H9,IF($E$6=pro,'Engine emission factors'!$I9,IF($E$6=select,'Engine emission factors'!$AA9))))))))</f>
        <v>0</v>
      </c>
      <c r="H25" s="338">
        <f t="shared" si="0"/>
        <v>0</v>
      </c>
      <c r="I25" s="336">
        <f t="shared" si="1"/>
        <v>0</v>
      </c>
      <c r="J25" s="339">
        <v>1</v>
      </c>
      <c r="K25" s="6"/>
      <c r="L25" s="6"/>
      <c r="M25" s="6"/>
      <c r="N25" s="6"/>
      <c r="O25" s="6"/>
      <c r="P25" s="6"/>
      <c r="Q25" s="6"/>
      <c r="R25" s="6"/>
      <c r="S25" s="6"/>
      <c r="T25" s="6"/>
    </row>
    <row r="26" spans="2:20" s="296" customFormat="1" ht="15" customHeight="1" x14ac:dyDescent="0.2">
      <c r="B26" s="330" t="s">
        <v>49</v>
      </c>
      <c r="D26" s="331"/>
      <c r="E26" s="332"/>
      <c r="F26" s="333"/>
      <c r="G26" s="334">
        <f>IF($E$6=rd,IF($E$8&gt;=600,'Engine emission factors'!$C10,'Engine emission factors'!$B10),IF($E$6=rg,'Engine emission factors'!$E10,IF($E$6=tng,'Engine emission factors'!$D10,IF($E$6=ngr,'Engine emission factors'!$F10,IF($E$6=ngl,'Engine emission factors'!$G10,IF($E$6=ng2l,'Engine emission factors'!$H10,IF($E$6=pro,'Engine emission factors'!$I10,IF($E$6=select,'Engine emission factors'!$AA10))))))))</f>
        <v>0</v>
      </c>
      <c r="H26" s="338">
        <f t="shared" si="0"/>
        <v>0</v>
      </c>
      <c r="I26" s="336">
        <f t="shared" si="1"/>
        <v>0</v>
      </c>
      <c r="J26" s="339">
        <v>1</v>
      </c>
      <c r="K26" s="6"/>
      <c r="L26" s="6"/>
      <c r="M26" s="6"/>
      <c r="N26" s="6"/>
      <c r="O26" s="6"/>
      <c r="P26" s="6"/>
      <c r="Q26" s="6"/>
      <c r="R26" s="6"/>
      <c r="S26" s="6"/>
      <c r="T26" s="6"/>
    </row>
    <row r="27" spans="2:20" s="296" customFormat="1" ht="15" customHeight="1" x14ac:dyDescent="0.2">
      <c r="B27" s="330" t="s">
        <v>50</v>
      </c>
      <c r="D27" s="331"/>
      <c r="E27" s="332"/>
      <c r="F27" s="333"/>
      <c r="G27" s="334">
        <f>IF($E$6=rd,IF($E$8&gt;=600,'Engine emission factors'!$C11,'Engine emission factors'!$B11),IF($E$6=rg,'Engine emission factors'!$E11,IF($E$6=tng,'Engine emission factors'!$D11,IF($E$6=ngr,'Engine emission factors'!$F11,IF($E$6=ngl,'Engine emission factors'!$G11,IF($E$6=ng2l,'Engine emission factors'!$H11,IF($E$6=pro,'Engine emission factors'!$I11,IF($E$6=select,'Engine emission factors'!$AA11))))))))</f>
        <v>0</v>
      </c>
      <c r="H27" s="338">
        <f t="shared" si="0"/>
        <v>0</v>
      </c>
      <c r="I27" s="336">
        <f t="shared" si="1"/>
        <v>0</v>
      </c>
      <c r="J27" s="339">
        <v>2</v>
      </c>
      <c r="K27" s="6"/>
      <c r="L27" s="6"/>
      <c r="M27" s="6"/>
      <c r="N27" s="6"/>
      <c r="O27" s="6"/>
      <c r="P27" s="6"/>
      <c r="Q27" s="6"/>
      <c r="R27" s="6"/>
      <c r="S27" s="6"/>
      <c r="T27" s="6"/>
    </row>
    <row r="28" spans="2:20" s="296" customFormat="1" ht="15" customHeight="1" thickBot="1" x14ac:dyDescent="0.25">
      <c r="B28" s="341" t="s">
        <v>51</v>
      </c>
      <c r="C28" s="342"/>
      <c r="D28" s="343"/>
      <c r="E28" s="344"/>
      <c r="F28" s="345"/>
      <c r="G28" s="346" t="s">
        <v>62</v>
      </c>
      <c r="H28" s="347">
        <v>0</v>
      </c>
      <c r="I28" s="348">
        <v>0</v>
      </c>
      <c r="J28" s="349"/>
      <c r="K28" s="6"/>
      <c r="M28" s="6"/>
      <c r="N28" s="6"/>
      <c r="O28" s="6"/>
      <c r="P28" s="6"/>
      <c r="Q28" s="6"/>
      <c r="R28" s="6"/>
      <c r="S28" s="6"/>
      <c r="T28" s="6"/>
    </row>
    <row r="29" spans="2:20" s="296" customFormat="1" ht="15" customHeight="1" x14ac:dyDescent="0.2">
      <c r="B29" s="321" t="s">
        <v>60</v>
      </c>
      <c r="C29" s="322"/>
      <c r="D29" s="323"/>
      <c r="E29" s="324"/>
      <c r="F29" s="325"/>
      <c r="G29" s="326"/>
      <c r="H29" s="327"/>
      <c r="I29" s="350" t="s">
        <v>83</v>
      </c>
      <c r="J29" s="351"/>
      <c r="K29" s="6"/>
      <c r="L29" s="6"/>
      <c r="M29" s="6"/>
      <c r="N29" s="6"/>
      <c r="O29" s="6"/>
      <c r="P29" s="6"/>
      <c r="Q29" s="6"/>
      <c r="R29" s="6"/>
      <c r="S29" s="6"/>
      <c r="T29" s="6"/>
    </row>
    <row r="30" spans="2:20" s="296" customFormat="1" ht="15" customHeight="1" x14ac:dyDescent="0.3">
      <c r="B30" s="352" t="s">
        <v>309</v>
      </c>
      <c r="C30" s="6">
        <v>1</v>
      </c>
      <c r="D30" s="353"/>
      <c r="E30" s="353"/>
      <c r="F30" s="353"/>
      <c r="G30" s="334">
        <f>IF($E$6=rd,IF($E$8&gt;=600,'Engine emission factors'!$C13,'Engine emission factors'!$B13),IF($E$6=rg,'Engine emission factors'!$E13,IF($E$6=tng,'Engine emission factors'!$D13,IF($E$6=ngr,'Engine emission factors'!$F13,IF($E$6=ngl,'Engine emission factors'!$G13,IF($E$6=ng2l,'Engine emission factors'!$H13,IF($E$6=pro,'Engine emission factors'!$I13,IF($E$6=select,'Engine emission factors'!$AA13))))))))</f>
        <v>0</v>
      </c>
      <c r="H30" s="335">
        <f>$D$19*$F$19*$G30/2000</f>
        <v>0</v>
      </c>
      <c r="I30" s="336">
        <f>($E$19*$G30)/2000</f>
        <v>0</v>
      </c>
      <c r="J30" s="354"/>
      <c r="K30" s="6"/>
      <c r="L30" s="6"/>
      <c r="M30" s="6"/>
      <c r="N30" s="6"/>
      <c r="O30" s="6"/>
      <c r="P30" s="6"/>
      <c r="Q30" s="6"/>
      <c r="R30" s="6"/>
      <c r="S30" s="6"/>
      <c r="T30" s="6"/>
    </row>
    <row r="31" spans="2:20" s="296" customFormat="1" ht="15" customHeight="1" x14ac:dyDescent="0.3">
      <c r="B31" s="352" t="s">
        <v>310</v>
      </c>
      <c r="C31" s="6">
        <v>25</v>
      </c>
      <c r="D31" s="353"/>
      <c r="E31" s="353"/>
      <c r="F31" s="353"/>
      <c r="G31" s="334">
        <f>IF($E$6=rd,IF($E$8&gt;=600,'Engine emission factors'!$C14,'Engine emission factors'!$B14),IF($E$6=rg,'Engine emission factors'!$E14,IF($E$6=tng,'Engine emission factors'!$D14,IF($E$6=ngr,'Engine emission factors'!$F14,IF($E$6=ngl,'Engine emission factors'!$G14,IF($E$6=ng2l,'Engine emission factors'!$H14,IF($E$6=pro,'Engine emission factors'!$I14,IF($E$6=select,'Engine emission factors'!$AA14))))))))</f>
        <v>0</v>
      </c>
      <c r="H31" s="356">
        <f>$D$19*$F$19*$G31/2000</f>
        <v>0</v>
      </c>
      <c r="I31" s="357">
        <f>($E$19*$G31)/2000</f>
        <v>0</v>
      </c>
      <c r="J31" s="354"/>
      <c r="K31" s="355"/>
      <c r="L31" s="355"/>
      <c r="M31" s="6"/>
      <c r="N31" s="6"/>
      <c r="O31" s="6"/>
      <c r="P31" s="6"/>
      <c r="Q31" s="6"/>
      <c r="R31" s="6"/>
      <c r="S31" s="6"/>
      <c r="T31" s="6"/>
    </row>
    <row r="32" spans="2:20" s="296" customFormat="1" ht="15" customHeight="1" x14ac:dyDescent="0.3">
      <c r="B32" s="352" t="s">
        <v>311</v>
      </c>
      <c r="C32" s="6">
        <v>298</v>
      </c>
      <c r="D32" s="353"/>
      <c r="E32" s="353"/>
      <c r="F32" s="353"/>
      <c r="G32" s="334">
        <f>IF($E$6=rd,IF($E$8&gt;=600,'Engine emission factors'!$C15,'Engine emission factors'!$B15),IF($E$6=rg,'Engine emission factors'!$E15,IF($E$6=tng,'Engine emission factors'!$D15,IF($E$6=ngr,'Engine emission factors'!$F15,IF($E$6=ngl,'Engine emission factors'!$G15,IF($E$6=ng2l,'Engine emission factors'!$H15,IF($E$6=pro,'Engine emission factors'!$I15,IF($E$6=select,'Engine emission factors'!$Q15))))))))</f>
        <v>0</v>
      </c>
      <c r="H32" s="356">
        <f>$D$19*$F$19*$G32/2000</f>
        <v>0</v>
      </c>
      <c r="I32" s="357">
        <f>($E$19*$G32)/2000</f>
        <v>0</v>
      </c>
      <c r="J32" s="358"/>
      <c r="K32" s="355"/>
      <c r="L32" s="6"/>
      <c r="O32" s="6"/>
      <c r="P32" s="6"/>
      <c r="Q32" s="6"/>
      <c r="R32" s="6"/>
      <c r="S32" s="6"/>
      <c r="T32" s="6"/>
    </row>
    <row r="33" spans="2:20" s="296" customFormat="1" ht="15" customHeight="1" thickBot="1" x14ac:dyDescent="0.25">
      <c r="B33" s="359"/>
      <c r="C33" s="360"/>
      <c r="D33" s="360"/>
      <c r="E33" s="360"/>
      <c r="F33" s="361" t="s">
        <v>408</v>
      </c>
      <c r="G33" s="362"/>
      <c r="H33" s="347">
        <f>(C30*H30)+(C31*H31)+(C32*H32)</f>
        <v>0</v>
      </c>
      <c r="I33" s="348">
        <f>(C30*I30)+(C31*I31)+(C32*I32)</f>
        <v>0</v>
      </c>
      <c r="J33" s="363">
        <v>1000</v>
      </c>
      <c r="K33" s="355"/>
      <c r="L33" s="6"/>
      <c r="M33" s="6"/>
      <c r="N33" s="6"/>
      <c r="O33" s="6"/>
      <c r="P33" s="6"/>
      <c r="Q33" s="6"/>
      <c r="R33" s="6"/>
      <c r="S33" s="6"/>
      <c r="T33" s="6"/>
    </row>
    <row r="34" spans="2:20" s="296" customFormat="1" ht="15" customHeight="1" x14ac:dyDescent="0.2">
      <c r="B34" s="321" t="s">
        <v>59</v>
      </c>
      <c r="C34" s="322"/>
      <c r="D34" s="323"/>
      <c r="E34" s="324"/>
      <c r="F34" s="325"/>
      <c r="G34" s="673" t="s">
        <v>407</v>
      </c>
      <c r="H34" s="673"/>
      <c r="I34" s="674"/>
      <c r="K34" s="6"/>
      <c r="L34" s="6"/>
      <c r="M34" s="6"/>
      <c r="N34" s="6"/>
      <c r="O34" s="6"/>
      <c r="P34" s="6"/>
      <c r="Q34" s="6"/>
      <c r="R34" s="6"/>
      <c r="S34" s="6"/>
      <c r="T34" s="6"/>
    </row>
    <row r="35" spans="2:20" s="296" customFormat="1" ht="15" customHeight="1" x14ac:dyDescent="0.2">
      <c r="B35" s="364" t="s">
        <v>136</v>
      </c>
      <c r="D35" s="265"/>
      <c r="E35" s="365"/>
      <c r="F35" s="212"/>
      <c r="G35" s="334">
        <f>IF($E$6=rd,IF($E$8&gt;=600,'Engine emission factors'!$C17,'Engine emission factors'!$B17),IF($E$6=rg,'Engine emission factors'!$E17,IF($E$6=tng,'Engine emission factors'!$D17,IF($E$6=ngr,'Engine emission factors'!$F17,IF($E$6=ngl,'Engine emission factors'!$G17,IF($E$6=ng2l,'Engine emission factors'!$H17,IF($E$6=pro,'Engine emission factors'!$I17,IF($E$6=select,'Engine emission factors'!$Q17))))))))</f>
        <v>0</v>
      </c>
      <c r="H35" s="356">
        <f t="shared" ref="H35:H59" si="2">$D$19*$F$19*$G35/2000</f>
        <v>0</v>
      </c>
      <c r="I35" s="357">
        <f>($E$19*$G35)/2000</f>
        <v>0</v>
      </c>
      <c r="K35" s="6"/>
      <c r="L35" s="6"/>
      <c r="M35" s="6"/>
      <c r="N35" s="6"/>
      <c r="O35" s="6"/>
      <c r="P35" s="6"/>
      <c r="Q35" s="6"/>
      <c r="R35" s="6"/>
      <c r="S35" s="6"/>
      <c r="T35" s="6"/>
    </row>
    <row r="36" spans="2:20" s="296" customFormat="1" ht="15" customHeight="1" x14ac:dyDescent="0.2">
      <c r="B36" s="366" t="s">
        <v>137</v>
      </c>
      <c r="D36" s="265"/>
      <c r="E36" s="365"/>
      <c r="F36" s="212"/>
      <c r="G36" s="334">
        <f>IF($E$6=rd,IF($E$8&gt;=600,'Engine emission factors'!$C18,'Engine emission factors'!$B18),IF($E$6=rg,'Engine emission factors'!$E18,IF($E$6=tng,'Engine emission factors'!$D18,IF($E$6=ngr,'Engine emission factors'!$F18,IF($E$6=ngl,'Engine emission factors'!$G18,IF($E$6=ng2l,'Engine emission factors'!$H18,IF($E$6=pro,'Engine emission factors'!$I18,IF($E$6=select,'Engine emission factors'!$Q18))))))))</f>
        <v>0</v>
      </c>
      <c r="H36" s="356">
        <f t="shared" si="2"/>
        <v>0</v>
      </c>
      <c r="I36" s="357">
        <f t="shared" ref="I36:I59" si="3">($E$19*$G36)/2000</f>
        <v>0</v>
      </c>
      <c r="K36" s="6"/>
      <c r="L36" s="6"/>
      <c r="M36" s="6"/>
      <c r="N36" s="6"/>
      <c r="O36" s="6"/>
      <c r="P36" s="6"/>
      <c r="Q36" s="6"/>
      <c r="R36" s="6"/>
      <c r="S36" s="6"/>
      <c r="T36" s="6"/>
    </row>
    <row r="37" spans="2:20" s="296" customFormat="1" ht="15" customHeight="1" x14ac:dyDescent="0.2">
      <c r="B37" s="366" t="s">
        <v>138</v>
      </c>
      <c r="D37" s="265"/>
      <c r="E37" s="365"/>
      <c r="F37" s="212"/>
      <c r="G37" s="334">
        <f>IF($E$6=rd,IF($E$8&gt;=600,'Engine emission factors'!$C19,'Engine emission factors'!$B19),IF($E$6=rg,'Engine emission factors'!$E19,IF($E$6=tng,'Engine emission factors'!$D19,IF($E$6=ngr,'Engine emission factors'!$F19,IF($E$6=ngl,'Engine emission factors'!$G19,IF($E$6=ng2l,'Engine emission factors'!$H19,IF($E$6=pro,'Engine emission factors'!$I19,IF($E$6=select,'Engine emission factors'!$Q19))))))))</f>
        <v>0</v>
      </c>
      <c r="H37" s="356">
        <f t="shared" si="2"/>
        <v>0</v>
      </c>
      <c r="I37" s="357">
        <f t="shared" si="3"/>
        <v>0</v>
      </c>
      <c r="K37" s="6"/>
      <c r="L37" s="6"/>
      <c r="M37" s="6"/>
      <c r="N37" s="6"/>
      <c r="O37" s="6"/>
      <c r="P37" s="6"/>
      <c r="Q37" s="6"/>
      <c r="R37" s="6"/>
      <c r="S37" s="6"/>
      <c r="T37" s="6"/>
    </row>
    <row r="38" spans="2:20" s="296" customFormat="1" ht="15" customHeight="1" x14ac:dyDescent="0.2">
      <c r="B38" s="366" t="s">
        <v>139</v>
      </c>
      <c r="D38" s="265"/>
      <c r="E38" s="365"/>
      <c r="F38" s="212"/>
      <c r="G38" s="334">
        <f>IF($E$6=rd,IF($E$8&gt;=600,'Engine emission factors'!$C20,'Engine emission factors'!$B20),IF($E$6=rg,'Engine emission factors'!$E20,IF($E$6=tng,'Engine emission factors'!$D20,IF($E$6=ngr,'Engine emission factors'!$F20,IF($E$6=ngl,'Engine emission factors'!$G20,IF($E$6=ng2l,'Engine emission factors'!$H20,IF($E$6=pro,'Engine emission factors'!$I20,IF($E$6=select,'Engine emission factors'!$AA20))))))))</f>
        <v>0</v>
      </c>
      <c r="H38" s="356">
        <f t="shared" si="2"/>
        <v>0</v>
      </c>
      <c r="I38" s="357">
        <f t="shared" si="3"/>
        <v>0</v>
      </c>
      <c r="K38" s="6"/>
      <c r="L38" s="6"/>
      <c r="M38" s="6"/>
      <c r="N38" s="6"/>
      <c r="O38" s="6"/>
      <c r="P38" s="6"/>
      <c r="Q38" s="6"/>
      <c r="R38" s="6"/>
      <c r="S38" s="6"/>
      <c r="T38" s="6"/>
    </row>
    <row r="39" spans="2:20" s="296" customFormat="1" ht="15" customHeight="1" x14ac:dyDescent="0.2">
      <c r="B39" s="367" t="s">
        <v>140</v>
      </c>
      <c r="D39" s="265"/>
      <c r="E39" s="365"/>
      <c r="F39" s="212"/>
      <c r="G39" s="334">
        <f>IF($E$6=rd,IF($E$8&gt;=600,'Engine emission factors'!$C21,'Engine emission factors'!$B21),IF($E$6=rg,'Engine emission factors'!$E21,IF($E$6=tng,'Engine emission factors'!$D21,IF($E$6=ngr,'Engine emission factors'!$F21,IF($E$6=ngl,'Engine emission factors'!$G21,IF($E$6=ng2l,'Engine emission factors'!$H21,IF($E$6=pro,'Engine emission factors'!$I21,IF($E$6=select,'Engine emission factors'!$AA21))))))))</f>
        <v>0</v>
      </c>
      <c r="H39" s="356">
        <f t="shared" si="2"/>
        <v>0</v>
      </c>
      <c r="I39" s="357">
        <f t="shared" si="3"/>
        <v>0</v>
      </c>
      <c r="K39" s="6"/>
      <c r="L39" s="6"/>
      <c r="M39" s="6"/>
      <c r="N39" s="6"/>
      <c r="O39" s="6"/>
      <c r="P39" s="6"/>
      <c r="Q39" s="6"/>
      <c r="R39" s="6"/>
      <c r="S39" s="6"/>
      <c r="T39" s="6"/>
    </row>
    <row r="40" spans="2:20" s="296" customFormat="1" ht="15" customHeight="1" x14ac:dyDescent="0.2">
      <c r="B40" s="367" t="s">
        <v>141</v>
      </c>
      <c r="D40" s="265"/>
      <c r="E40" s="365"/>
      <c r="F40" s="212"/>
      <c r="G40" s="334">
        <f>IF($E$6=rd,IF($E$8&gt;=600,'Engine emission factors'!$C22,'Engine emission factors'!$B22),IF($E$6=rg,'Engine emission factors'!$E22,IF($E$6=tng,'Engine emission factors'!$D22,IF($E$6=ngr,'Engine emission factors'!$F22,IF($E$6=ngl,'Engine emission factors'!$G22,IF($E$6=ng2l,'Engine emission factors'!$H22,IF($E$6=pro,'Engine emission factors'!$I22,IF($E$6=select,'Engine emission factors'!$AA22))))))))</f>
        <v>0</v>
      </c>
      <c r="H40" s="356">
        <f t="shared" si="2"/>
        <v>0</v>
      </c>
      <c r="I40" s="357">
        <f t="shared" si="3"/>
        <v>0</v>
      </c>
      <c r="K40" s="6"/>
      <c r="L40" s="6"/>
      <c r="M40" s="6"/>
      <c r="N40" s="6"/>
      <c r="O40" s="6"/>
      <c r="P40" s="6"/>
      <c r="Q40" s="6"/>
      <c r="R40" s="6"/>
      <c r="S40" s="6"/>
      <c r="T40" s="6"/>
    </row>
    <row r="41" spans="2:20" s="296" customFormat="1" ht="15" customHeight="1" x14ac:dyDescent="0.2">
      <c r="B41" s="367" t="s">
        <v>52</v>
      </c>
      <c r="D41" s="265"/>
      <c r="E41" s="365"/>
      <c r="F41" s="212"/>
      <c r="G41" s="334">
        <f>IF($E$6=rd,IF($E$8&gt;=600,'Engine emission factors'!$C23,'Engine emission factors'!$B23),IF($E$6=rg,'Engine emission factors'!$E23,IF($E$6=tng,'Engine emission factors'!$D23,IF($E$6=ngr,'Engine emission factors'!$F23,IF($E$6=ngl,'Engine emission factors'!$G23,IF($E$6=ng2l,'Engine emission factors'!$H23,IF($E$6=pro,'Engine emission factors'!$I23,IF($E$6=select,'Engine emission factors'!$AA23))))))))</f>
        <v>0</v>
      </c>
      <c r="H41" s="356">
        <f t="shared" si="2"/>
        <v>0</v>
      </c>
      <c r="I41" s="357">
        <f t="shared" si="3"/>
        <v>0</v>
      </c>
      <c r="K41" s="6"/>
      <c r="L41" s="6"/>
      <c r="M41" s="6"/>
      <c r="N41" s="6"/>
      <c r="O41" s="6"/>
      <c r="P41" s="6"/>
      <c r="Q41" s="6"/>
      <c r="R41" s="6"/>
      <c r="S41" s="6"/>
      <c r="T41" s="6"/>
    </row>
    <row r="42" spans="2:20" s="296" customFormat="1" ht="15" customHeight="1" x14ac:dyDescent="0.2">
      <c r="B42" s="366" t="s">
        <v>142</v>
      </c>
      <c r="D42" s="265"/>
      <c r="E42" s="365"/>
      <c r="F42" s="212"/>
      <c r="G42" s="334">
        <f>IF($E$6=rd,IF($E$8&gt;=600,'Engine emission factors'!$C24,'Engine emission factors'!$B24),IF($E$6=rg,'Engine emission factors'!$E24,IF($E$6=tng,'Engine emission factors'!$D24,IF($E$6=ngr,'Engine emission factors'!$F24,IF($E$6=ngl,'Engine emission factors'!$G24,IF($E$6=ng2l,'Engine emission factors'!$H24,IF($E$6=pro,'Engine emission factors'!$I24,IF($E$6=select,'Engine emission factors'!$AA24))))))))</f>
        <v>0</v>
      </c>
      <c r="H42" s="356">
        <f t="shared" si="2"/>
        <v>0</v>
      </c>
      <c r="I42" s="357">
        <f t="shared" si="3"/>
        <v>0</v>
      </c>
      <c r="K42" s="6"/>
      <c r="L42" s="6"/>
      <c r="M42" s="6"/>
      <c r="N42" s="6"/>
      <c r="O42" s="6"/>
      <c r="P42" s="6"/>
      <c r="Q42" s="6"/>
      <c r="R42" s="6"/>
      <c r="S42" s="6"/>
      <c r="T42" s="6"/>
    </row>
    <row r="43" spans="2:20" s="296" customFormat="1" ht="15" customHeight="1" x14ac:dyDescent="0.2">
      <c r="B43" s="366" t="s">
        <v>143</v>
      </c>
      <c r="D43" s="265"/>
      <c r="E43" s="365"/>
      <c r="F43" s="212"/>
      <c r="G43" s="334">
        <f>IF($E$6=rd,IF($E$8&gt;=600,'Engine emission factors'!$C25,'Engine emission factors'!$B25),IF($E$6=rg,'Engine emission factors'!$E25,IF($E$6=tng,'Engine emission factors'!$D25,IF($E$6=ngr,'Engine emission factors'!$F25,IF($E$6=ngl,'Engine emission factors'!$G25,IF($E$6=ng2l,'Engine emission factors'!$H25,IF($E$6=pro,'Engine emission factors'!$I25,IF($E$6=select,'Engine emission factors'!$AA25))))))))</f>
        <v>0</v>
      </c>
      <c r="H43" s="356">
        <f t="shared" si="2"/>
        <v>0</v>
      </c>
      <c r="I43" s="357">
        <f t="shared" si="3"/>
        <v>0</v>
      </c>
      <c r="K43" s="6"/>
      <c r="L43" s="6"/>
      <c r="M43" s="6"/>
      <c r="N43" s="6"/>
      <c r="O43" s="6"/>
      <c r="P43" s="6"/>
      <c r="Q43" s="6"/>
      <c r="R43" s="6"/>
      <c r="S43" s="6"/>
      <c r="T43" s="6"/>
    </row>
    <row r="44" spans="2:20" s="296" customFormat="1" ht="15" customHeight="1" x14ac:dyDescent="0.2">
      <c r="B44" s="366" t="s">
        <v>144</v>
      </c>
      <c r="D44" s="265"/>
      <c r="E44" s="365"/>
      <c r="F44" s="212"/>
      <c r="G44" s="334">
        <f>IF($E$6=rd,IF($E$8&gt;=600,'Engine emission factors'!$C26,'Engine emission factors'!$B26),IF($E$6=rg,'Engine emission factors'!$E26,IF($E$6=tng,'Engine emission factors'!$D26,IF($E$6=ngr,'Engine emission factors'!$F26,IF($E$6=ngl,'Engine emission factors'!$G26,IF($E$6=ng2l,'Engine emission factors'!$H26,IF($E$6=pro,'Engine emission factors'!$I26,IF($E$6=select,'Engine emission factors'!$AA26))))))))</f>
        <v>0</v>
      </c>
      <c r="H44" s="356">
        <f t="shared" si="2"/>
        <v>0</v>
      </c>
      <c r="I44" s="357">
        <f t="shared" si="3"/>
        <v>0</v>
      </c>
      <c r="K44" s="6"/>
      <c r="L44" s="6"/>
      <c r="M44" s="6"/>
      <c r="N44" s="6"/>
      <c r="O44" s="6"/>
      <c r="P44" s="6"/>
      <c r="Q44" s="6"/>
      <c r="R44" s="6"/>
      <c r="S44" s="6"/>
      <c r="T44" s="6"/>
    </row>
    <row r="45" spans="2:20" s="296" customFormat="1" ht="15" customHeight="1" x14ac:dyDescent="0.2">
      <c r="B45" s="366" t="s">
        <v>145</v>
      </c>
      <c r="D45" s="265"/>
      <c r="E45" s="365"/>
      <c r="F45" s="212"/>
      <c r="G45" s="334">
        <f>IF($E$6=rd,IF($E$8&gt;=600,'Engine emission factors'!$C27,'Engine emission factors'!$B27),IF($E$6=rg,'Engine emission factors'!$E27,IF($E$6=tng,'Engine emission factors'!$D27,IF($E$6=ngr,'Engine emission factors'!$F27,IF($E$6=ngl,'Engine emission factors'!$G27,IF($E$6=ng2l,'Engine emission factors'!$H27,IF($E$6=pro,'Engine emission factors'!$I27,IF($E$6=select,'Engine emission factors'!$AA27))))))))</f>
        <v>0</v>
      </c>
      <c r="H45" s="356">
        <f t="shared" si="2"/>
        <v>0</v>
      </c>
      <c r="I45" s="357">
        <f t="shared" si="3"/>
        <v>0</v>
      </c>
      <c r="K45" s="6"/>
      <c r="L45" s="6"/>
      <c r="M45" s="6"/>
      <c r="N45" s="6"/>
      <c r="O45" s="6"/>
      <c r="P45" s="6"/>
      <c r="Q45" s="6"/>
      <c r="R45" s="6"/>
      <c r="S45" s="6"/>
      <c r="T45" s="6"/>
    </row>
    <row r="46" spans="2:20" s="296" customFormat="1" ht="15" customHeight="1" x14ac:dyDescent="0.2">
      <c r="B46" s="367" t="s">
        <v>146</v>
      </c>
      <c r="D46" s="265"/>
      <c r="E46" s="365"/>
      <c r="F46" s="212"/>
      <c r="G46" s="334">
        <f>IF($E$6=rd,IF($E$8&gt;=600,'Engine emission factors'!$C28,'Engine emission factors'!$B28),IF($E$6=rg,'Engine emission factors'!$E28,IF($E$6=tng,'Engine emission factors'!$D28,IF($E$6=ngr,'Engine emission factors'!$F28,IF($E$6=ngl,'Engine emission factors'!$G28,IF($E$6=ng2l,'Engine emission factors'!$H28,IF($E$6=pro,'Engine emission factors'!$I28,IF($E$6=select,'Engine emission factors'!$AA28))))))))</f>
        <v>0</v>
      </c>
      <c r="H46" s="356">
        <f t="shared" si="2"/>
        <v>0</v>
      </c>
      <c r="I46" s="357">
        <f t="shared" si="3"/>
        <v>0</v>
      </c>
      <c r="K46" s="6"/>
      <c r="L46" s="6"/>
      <c r="M46" s="6"/>
      <c r="N46" s="6"/>
      <c r="O46" s="6"/>
      <c r="P46" s="6"/>
      <c r="Q46" s="6"/>
      <c r="R46" s="6"/>
      <c r="S46" s="6"/>
      <c r="T46" s="6"/>
    </row>
    <row r="47" spans="2:20" s="296" customFormat="1" ht="15" customHeight="1" x14ac:dyDescent="0.2">
      <c r="B47" s="366" t="s">
        <v>147</v>
      </c>
      <c r="D47" s="265"/>
      <c r="E47" s="365"/>
      <c r="F47" s="212"/>
      <c r="G47" s="334">
        <f>IF($E$6=rd,IF($E$8&gt;=600,'Engine emission factors'!$C29,'Engine emission factors'!$B29),IF($E$6=rg,'Engine emission factors'!$E29,IF($E$6=tng,'Engine emission factors'!$D29,IF($E$6=ngr,'Engine emission factors'!$F29,IF($E$6=ngl,'Engine emission factors'!$G29,IF($E$6=ng2l,'Engine emission factors'!$H29,IF($E$6=pro,'Engine emission factors'!$I29,IF($E$6=select,'Engine emission factors'!$AA29))))))))</f>
        <v>0</v>
      </c>
      <c r="H47" s="356">
        <f t="shared" si="2"/>
        <v>0</v>
      </c>
      <c r="I47" s="357">
        <f t="shared" si="3"/>
        <v>0</v>
      </c>
      <c r="K47" s="6"/>
      <c r="L47" s="6"/>
      <c r="M47" s="6"/>
      <c r="N47" s="6"/>
      <c r="O47" s="6"/>
      <c r="P47" s="6"/>
      <c r="Q47" s="6"/>
      <c r="R47" s="6"/>
      <c r="S47" s="6"/>
      <c r="T47" s="6"/>
    </row>
    <row r="48" spans="2:20" s="296" customFormat="1" ht="15" customHeight="1" x14ac:dyDescent="0.2">
      <c r="B48" s="367" t="s">
        <v>53</v>
      </c>
      <c r="D48" s="265"/>
      <c r="E48" s="365"/>
      <c r="F48" s="212"/>
      <c r="G48" s="334">
        <f>IF($E$6=rd,IF($E$8&gt;=600,'Engine emission factors'!$C30,'Engine emission factors'!$B30),IF($E$6=rg,'Engine emission factors'!$E30,IF($E$6=tng,'Engine emission factors'!$D30,IF($E$6=ngr,'Engine emission factors'!$F30,IF($E$6=ngl,'Engine emission factors'!$G30,IF($E$6=ng2l,'Engine emission factors'!$H30,IF($E$6=pro,'Engine emission factors'!$I30,IF($E$6=select,'Engine emission factors'!$AA30))))))))</f>
        <v>0</v>
      </c>
      <c r="H48" s="356">
        <f t="shared" si="2"/>
        <v>0</v>
      </c>
      <c r="I48" s="357">
        <f t="shared" si="3"/>
        <v>0</v>
      </c>
      <c r="K48" s="6"/>
      <c r="L48" s="6"/>
      <c r="M48" s="6"/>
      <c r="N48" s="6"/>
      <c r="O48" s="6"/>
      <c r="P48" s="6"/>
      <c r="Q48" s="6"/>
      <c r="R48" s="6"/>
      <c r="S48" s="6"/>
      <c r="T48" s="6"/>
    </row>
    <row r="49" spans="2:20" s="296" customFormat="1" ht="15" customHeight="1" x14ac:dyDescent="0.2">
      <c r="B49" s="367" t="s">
        <v>54</v>
      </c>
      <c r="D49" s="265"/>
      <c r="E49" s="365"/>
      <c r="F49" s="212"/>
      <c r="G49" s="334">
        <f>IF($E$6=rd,IF($E$8&gt;=600,'Engine emission factors'!$C31,'Engine emission factors'!$B31),IF($E$6=rg,'Engine emission factors'!$E31,IF($E$6=tng,'Engine emission factors'!$D31,IF($E$6=ngr,'Engine emission factors'!$F31,IF($E$6=ngl,'Engine emission factors'!$G31,IF($E$6=ng2l,'Engine emission factors'!$H31,IF($E$6=pro,'Engine emission factors'!$I31,IF($E$6=select,'Engine emission factors'!$AA31))))))))</f>
        <v>0</v>
      </c>
      <c r="H49" s="356">
        <f t="shared" si="2"/>
        <v>0</v>
      </c>
      <c r="I49" s="357">
        <f t="shared" si="3"/>
        <v>0</v>
      </c>
      <c r="K49" s="6"/>
      <c r="L49" s="6"/>
      <c r="M49" s="6"/>
      <c r="N49" s="6"/>
      <c r="O49" s="6"/>
      <c r="P49" s="6"/>
      <c r="Q49" s="6"/>
      <c r="R49" s="6"/>
      <c r="S49" s="6"/>
      <c r="T49" s="6"/>
    </row>
    <row r="50" spans="2:20" s="296" customFormat="1" ht="15" customHeight="1" x14ac:dyDescent="0.2">
      <c r="B50" s="366" t="s">
        <v>148</v>
      </c>
      <c r="D50" s="265"/>
      <c r="E50" s="365"/>
      <c r="F50" s="212"/>
      <c r="G50" s="334">
        <f>IF($E$6=rd,IF($E$8&gt;=600,'Engine emission factors'!$C32,'Engine emission factors'!$B32),IF($E$6=rg,'Engine emission factors'!$E32,IF($E$6=tng,'Engine emission factors'!$D32,IF($E$6=ngr,'Engine emission factors'!$F32,IF($E$6=ngl,'Engine emission factors'!$G32,IF($E$6=ng2l,'Engine emission factors'!$H32,IF($E$6=pro,'Engine emission factors'!$I32,IF($E$6=select,'Engine emission factors'!$AA32))))))))</f>
        <v>0</v>
      </c>
      <c r="H50" s="356">
        <f t="shared" si="2"/>
        <v>0</v>
      </c>
      <c r="I50" s="357">
        <f t="shared" si="3"/>
        <v>0</v>
      </c>
      <c r="K50" s="6"/>
      <c r="L50" s="6"/>
      <c r="M50" s="6"/>
      <c r="N50" s="6"/>
      <c r="O50" s="6"/>
      <c r="P50" s="6"/>
      <c r="Q50" s="6"/>
      <c r="R50" s="6"/>
      <c r="S50" s="6"/>
      <c r="T50" s="6"/>
    </row>
    <row r="51" spans="2:20" s="296" customFormat="1" ht="15" customHeight="1" x14ac:dyDescent="0.2">
      <c r="B51" s="366" t="s">
        <v>149</v>
      </c>
      <c r="D51" s="265"/>
      <c r="E51" s="365"/>
      <c r="F51" s="212"/>
      <c r="G51" s="334">
        <f>IF($E$6=rd,IF($E$8&gt;=600,'Engine emission factors'!$C33,'Engine emission factors'!$B33),IF($E$6=rg,'Engine emission factors'!$E33,IF($E$6=tng,'Engine emission factors'!$D33,IF($E$6=ngr,'Engine emission factors'!$F33,IF($E$6=ngl,'Engine emission factors'!$G33,IF($E$6=ng2l,'Engine emission factors'!$H33,IF($E$6=pro,'Engine emission factors'!$I33,IF($E$6=select,'Engine emission factors'!$AA33))))))))</f>
        <v>0</v>
      </c>
      <c r="H51" s="356">
        <f t="shared" si="2"/>
        <v>0</v>
      </c>
      <c r="I51" s="357">
        <f t="shared" si="3"/>
        <v>0</v>
      </c>
      <c r="K51" s="6"/>
      <c r="L51" s="6"/>
      <c r="M51" s="6"/>
      <c r="N51" s="6"/>
      <c r="O51" s="6"/>
      <c r="P51" s="6"/>
      <c r="Q51" s="6"/>
      <c r="R51" s="6"/>
      <c r="S51" s="6"/>
      <c r="T51" s="6"/>
    </row>
    <row r="52" spans="2:20" s="296" customFormat="1" ht="15" customHeight="1" x14ac:dyDescent="0.2">
      <c r="B52" s="367" t="s">
        <v>55</v>
      </c>
      <c r="D52" s="265"/>
      <c r="E52" s="365"/>
      <c r="F52" s="212"/>
      <c r="G52" s="334">
        <f>IF($E$6=rd,IF($E$8&gt;=600,'Engine emission factors'!$C34,'Engine emission factors'!$B34),IF($E$6=rg,'Engine emission factors'!$E34,IF($E$6=tng,'Engine emission factors'!$D34,IF($E$6=ngr,'Engine emission factors'!$F34,IF($E$6=ngl,'Engine emission factors'!$G34,IF($E$6=ng2l,'Engine emission factors'!$H34,IF($E$6=pro,'Engine emission factors'!$I34,IF($E$6=select,'Engine emission factors'!$AA34))))))))</f>
        <v>0</v>
      </c>
      <c r="H52" s="356">
        <f t="shared" si="2"/>
        <v>0</v>
      </c>
      <c r="I52" s="357">
        <f t="shared" si="3"/>
        <v>0</v>
      </c>
      <c r="K52" s="6"/>
      <c r="L52" s="6"/>
      <c r="M52" s="6"/>
      <c r="N52" s="6"/>
      <c r="O52" s="6"/>
      <c r="P52" s="6"/>
      <c r="Q52" s="6"/>
      <c r="R52" s="6"/>
      <c r="S52" s="6"/>
      <c r="T52" s="6"/>
    </row>
    <row r="53" spans="2:20" s="296" customFormat="1" ht="15" customHeight="1" x14ac:dyDescent="0.2">
      <c r="B53" s="366" t="s">
        <v>150</v>
      </c>
      <c r="G53" s="334">
        <f>IF($E$6=rd,IF($E$8&gt;=600,'Engine emission factors'!$C35,'Engine emission factors'!$B35),IF($E$6=rg,'Engine emission factors'!$E35,IF($E$6=tng,'Engine emission factors'!$D35,IF($E$6=ngr,'Engine emission factors'!$F35,IF($E$6=ngl,'Engine emission factors'!$G35,IF($E$6=ng2l,'Engine emission factors'!$H35,IF($E$6=pro,'Engine emission factors'!$I35,IF($E$6=select,'Engine emission factors'!$AA35))))))))</f>
        <v>0</v>
      </c>
      <c r="H53" s="356">
        <f t="shared" si="2"/>
        <v>0</v>
      </c>
      <c r="I53" s="357">
        <f t="shared" si="3"/>
        <v>0</v>
      </c>
      <c r="K53" s="6"/>
      <c r="L53" s="6"/>
      <c r="M53" s="6"/>
      <c r="N53" s="6"/>
      <c r="O53" s="6"/>
      <c r="P53" s="6"/>
      <c r="Q53" s="6"/>
      <c r="R53" s="6"/>
      <c r="S53" s="6"/>
      <c r="T53" s="6"/>
    </row>
    <row r="54" spans="2:20" s="296" customFormat="1" ht="15" customHeight="1" x14ac:dyDescent="0.2">
      <c r="B54" s="366" t="s">
        <v>151</v>
      </c>
      <c r="G54" s="334">
        <f>IF($E$6=rd,IF($E$8&gt;=600,'Engine emission factors'!$C36,'Engine emission factors'!$B36),IF($E$6=rg,'Engine emission factors'!$E36,IF($E$6=tng,'Engine emission factors'!$D36,IF($E$6=ngr,'Engine emission factors'!$F36,IF($E$6=ngl,'Engine emission factors'!$G36,IF($E$6=ng2l,'Engine emission factors'!$H36,IF($E$6=pro,'Engine emission factors'!$I36,IF($E$6=select,'Engine emission factors'!$AA36))))))))</f>
        <v>0</v>
      </c>
      <c r="H54" s="356">
        <f t="shared" si="2"/>
        <v>0</v>
      </c>
      <c r="I54" s="357">
        <f t="shared" si="3"/>
        <v>0</v>
      </c>
      <c r="K54" s="6"/>
      <c r="L54" s="6"/>
      <c r="M54" s="6"/>
      <c r="N54" s="6"/>
      <c r="O54" s="6"/>
      <c r="P54" s="6"/>
      <c r="Q54" s="6"/>
      <c r="R54" s="6"/>
      <c r="S54" s="6"/>
      <c r="T54" s="6"/>
    </row>
    <row r="55" spans="2:20" s="296" customFormat="1" ht="15" customHeight="1" x14ac:dyDescent="0.2">
      <c r="B55" s="366" t="s">
        <v>152</v>
      </c>
      <c r="G55" s="334">
        <f>IF($E$6=rd,IF($E$8&gt;=600,'Engine emission factors'!$C37,'Engine emission factors'!$B37),IF($E$6=rg,'Engine emission factors'!$E37,IF($E$6=tng,'Engine emission factors'!$D37,IF($E$6=ngr,'Engine emission factors'!$F37,IF($E$6=ngl,'Engine emission factors'!$G37,IF($E$6=ng2l,'Engine emission factors'!$H37,IF($E$6=pro,'Engine emission factors'!$I37,IF($E$6=select,'Engine emission factors'!$AA37))))))))</f>
        <v>0</v>
      </c>
      <c r="H55" s="356">
        <f t="shared" si="2"/>
        <v>0</v>
      </c>
      <c r="I55" s="357">
        <f t="shared" si="3"/>
        <v>0</v>
      </c>
      <c r="K55" s="6"/>
      <c r="L55" s="6"/>
      <c r="M55" s="6"/>
      <c r="N55" s="6"/>
      <c r="O55" s="6"/>
      <c r="P55" s="6"/>
      <c r="Q55" s="6"/>
      <c r="R55" s="6"/>
      <c r="S55" s="6"/>
      <c r="T55" s="6"/>
    </row>
    <row r="56" spans="2:20" s="296" customFormat="1" ht="15" customHeight="1" x14ac:dyDescent="0.2">
      <c r="B56" s="366" t="s">
        <v>153</v>
      </c>
      <c r="G56" s="334">
        <f>IF($E$6=rd,IF($E$8&gt;=600,'Engine emission factors'!$C38,'Engine emission factors'!$B38),IF($E$6=rg,'Engine emission factors'!$E38,IF($E$6=tng,'Engine emission factors'!$D38,IF($E$6=ngr,'Engine emission factors'!$F38,IF($E$6=ngl,'Engine emission factors'!$G38,IF($E$6=ng2l,'Engine emission factors'!$H38,IF($E$6=pro,'Engine emission factors'!$I38,IF($E$6=select,'Engine emission factors'!$AA38))))))))</f>
        <v>0</v>
      </c>
      <c r="H56" s="356">
        <f t="shared" si="2"/>
        <v>0</v>
      </c>
      <c r="I56" s="357">
        <f t="shared" si="3"/>
        <v>0</v>
      </c>
      <c r="K56" s="6"/>
      <c r="L56" s="6"/>
      <c r="M56" s="6"/>
      <c r="N56" s="6"/>
      <c r="O56" s="6"/>
      <c r="P56" s="6"/>
      <c r="Q56" s="6"/>
      <c r="R56" s="6"/>
      <c r="S56" s="6"/>
      <c r="T56" s="6"/>
    </row>
    <row r="57" spans="2:20" s="296" customFormat="1" ht="15" customHeight="1" x14ac:dyDescent="0.2">
      <c r="B57" s="367" t="s">
        <v>56</v>
      </c>
      <c r="G57" s="334">
        <f>IF($E$6=rd,IF($E$8&gt;=600,'Engine emission factors'!$C39,'Engine emission factors'!$B39),IF($E$6=rg,'Engine emission factors'!$E39,IF($E$6=tng,'Engine emission factors'!$D39,IF($E$6=ngr,'Engine emission factors'!$F39,IF($E$6=ngl,'Engine emission factors'!$G39,IF($E$6=ng2l,'Engine emission factors'!$H39,IF($E$6=pro,'Engine emission factors'!$I39,IF($E$6=select,'Engine emission factors'!$AA39))))))))</f>
        <v>0</v>
      </c>
      <c r="H57" s="356">
        <f t="shared" si="2"/>
        <v>0</v>
      </c>
      <c r="I57" s="357">
        <f t="shared" si="3"/>
        <v>0</v>
      </c>
      <c r="K57" s="6"/>
      <c r="L57" s="6"/>
      <c r="M57" s="6"/>
      <c r="N57" s="6"/>
      <c r="O57" s="6"/>
      <c r="P57" s="6"/>
      <c r="Q57" s="6"/>
      <c r="R57" s="6"/>
      <c r="S57" s="6"/>
      <c r="T57" s="6"/>
    </row>
    <row r="58" spans="2:20" s="296" customFormat="1" ht="15" customHeight="1" x14ac:dyDescent="0.2">
      <c r="B58" s="366" t="s">
        <v>154</v>
      </c>
      <c r="G58" s="334">
        <f>IF($E$6=rd,IF($E$8&gt;=600,'Engine emission factors'!$C40,'Engine emission factors'!$B40),IF($E$6=rg,'Engine emission factors'!$E40,IF($E$6=tng,'Engine emission factors'!$D40,IF($E$6=ngr,'Engine emission factors'!$F40,IF($E$6=ngl,'Engine emission factors'!$G40,IF($E$6=ng2l,'Engine emission factors'!$H40,IF($E$6=pro,'Engine emission factors'!$I40,IF($E$6=select,'Engine emission factors'!$AA40))))))))</f>
        <v>0</v>
      </c>
      <c r="H58" s="356">
        <f t="shared" si="2"/>
        <v>0</v>
      </c>
      <c r="I58" s="357">
        <f t="shared" si="3"/>
        <v>0</v>
      </c>
      <c r="K58" s="6"/>
      <c r="L58" s="6"/>
      <c r="M58" s="6"/>
      <c r="N58" s="6"/>
      <c r="O58" s="6"/>
      <c r="P58" s="6"/>
      <c r="Q58" s="6"/>
      <c r="R58" s="6"/>
      <c r="S58" s="6"/>
      <c r="T58" s="6"/>
    </row>
    <row r="59" spans="2:20" s="296" customFormat="1" ht="15" customHeight="1" x14ac:dyDescent="0.2">
      <c r="B59" s="367" t="s">
        <v>155</v>
      </c>
      <c r="G59" s="334">
        <f>IF($E$6=rd,IF($E$8&gt;=600,'Engine emission factors'!$C41,'Engine emission factors'!$B41),IF($E$6=rg,'Engine emission factors'!$E41,IF($E$6=tng,'Engine emission factors'!$D41,IF($E$6=ngr,'Engine emission factors'!$F41,IF($E$6=ngl,'Engine emission factors'!$G41,IF($E$6=ng2l,'Engine emission factors'!$H41,IF($E$6=pro,'Engine emission factors'!$I41,IF($E$6=select,'Engine emission factors'!$AA41))))))))</f>
        <v>0</v>
      </c>
      <c r="H59" s="356">
        <f t="shared" si="2"/>
        <v>0</v>
      </c>
      <c r="I59" s="357">
        <f t="shared" si="3"/>
        <v>0</v>
      </c>
      <c r="K59" s="6"/>
      <c r="L59" s="6"/>
      <c r="M59" s="6"/>
      <c r="N59" s="6"/>
      <c r="O59" s="6"/>
      <c r="P59" s="6"/>
      <c r="Q59" s="6"/>
      <c r="R59" s="6"/>
      <c r="S59" s="6"/>
      <c r="T59" s="6"/>
    </row>
    <row r="60" spans="2:20" s="296" customFormat="1" ht="15" customHeight="1" thickBot="1" x14ac:dyDescent="0.25">
      <c r="B60" s="359"/>
      <c r="C60" s="360"/>
      <c r="D60" s="360"/>
      <c r="E60" s="360"/>
      <c r="F60" s="361" t="s">
        <v>57</v>
      </c>
      <c r="G60" s="362"/>
      <c r="H60" s="368">
        <f>SUM(H35:H59)</f>
        <v>0</v>
      </c>
      <c r="I60" s="369">
        <f>SUM(I35:I59)</f>
        <v>0</v>
      </c>
      <c r="K60" s="6"/>
      <c r="L60" s="6"/>
      <c r="M60" s="6"/>
      <c r="N60" s="6"/>
      <c r="O60" s="6"/>
      <c r="P60" s="6"/>
      <c r="Q60" s="6"/>
      <c r="R60" s="6"/>
      <c r="S60" s="6"/>
      <c r="T60" s="6"/>
    </row>
    <row r="61" spans="2:20" s="296" customFormat="1" ht="15" customHeight="1" x14ac:dyDescent="0.2">
      <c r="B61" s="675" t="s">
        <v>409</v>
      </c>
      <c r="C61" s="675"/>
      <c r="D61" s="675"/>
      <c r="E61" s="675"/>
      <c r="F61" s="518"/>
      <c r="G61" s="518"/>
      <c r="H61" s="518"/>
      <c r="I61" s="518"/>
      <c r="K61" s="6"/>
      <c r="L61" s="6"/>
      <c r="M61" s="6"/>
      <c r="N61" s="6"/>
      <c r="O61" s="6"/>
      <c r="P61" s="6"/>
      <c r="Q61" s="6"/>
      <c r="R61" s="6"/>
      <c r="S61" s="6"/>
      <c r="T61" s="6"/>
    </row>
    <row r="62" spans="2:20" s="296" customFormat="1" ht="15" customHeight="1" x14ac:dyDescent="0.25">
      <c r="B62" s="676" t="s">
        <v>410</v>
      </c>
      <c r="C62" s="676"/>
      <c r="D62" s="676"/>
      <c r="E62" s="676"/>
      <c r="K62" s="6"/>
      <c r="L62" s="6"/>
      <c r="M62" s="6"/>
      <c r="N62" s="6"/>
      <c r="O62" s="6"/>
      <c r="P62" s="6"/>
      <c r="Q62" s="6"/>
      <c r="R62" s="6"/>
      <c r="S62" s="6"/>
      <c r="T62" s="6"/>
    </row>
    <row r="63" spans="2:20" s="296" customFormat="1" ht="15" customHeight="1" x14ac:dyDescent="0.2">
      <c r="B63" s="519" t="s">
        <v>653</v>
      </c>
      <c r="C63" s="519"/>
      <c r="D63" s="519"/>
      <c r="E63" s="519"/>
      <c r="K63" s="6"/>
      <c r="L63" s="6"/>
      <c r="M63" s="6"/>
      <c r="N63" s="6"/>
      <c r="O63" s="6"/>
      <c r="P63" s="6"/>
      <c r="Q63" s="6"/>
      <c r="R63" s="6"/>
      <c r="S63" s="6"/>
      <c r="T63" s="6"/>
    </row>
    <row r="64" spans="2:20" s="296" customFormat="1" ht="15" customHeight="1" x14ac:dyDescent="0.25">
      <c r="B64" s="520" t="s">
        <v>654</v>
      </c>
      <c r="C64" s="370"/>
      <c r="D64" s="370"/>
      <c r="E64" s="370"/>
      <c r="F64" s="3"/>
      <c r="G64" s="466" t="s">
        <v>411</v>
      </c>
      <c r="H64" s="466"/>
      <c r="I64" s="3"/>
      <c r="J64" s="3"/>
      <c r="K64" s="6"/>
      <c r="L64" s="6"/>
      <c r="M64" s="6"/>
      <c r="N64" s="6"/>
      <c r="O64" s="6"/>
      <c r="P64" s="6"/>
      <c r="Q64" s="6"/>
      <c r="R64" s="6"/>
      <c r="S64" s="6"/>
      <c r="T64" s="6"/>
    </row>
    <row r="65" spans="2:9" ht="15" customHeight="1" x14ac:dyDescent="0.25">
      <c r="B65" s="370"/>
      <c r="C65" s="370"/>
      <c r="D65" s="370"/>
      <c r="E65" s="370"/>
    </row>
    <row r="66" spans="2:9" x14ac:dyDescent="0.25">
      <c r="D66" s="370"/>
      <c r="E66" s="370"/>
      <c r="F66" s="1"/>
      <c r="G66" s="1"/>
      <c r="H66" s="1"/>
      <c r="I66" s="1"/>
    </row>
    <row r="400" hidden="1" x14ac:dyDescent="0.25"/>
  </sheetData>
  <protectedRanges>
    <protectedRange sqref="B9 N15:Q16 P11:Q14 M20:M23 J8:J13 E8:E11 K9:K14 A5:A6 R9:W14" name="Range2"/>
    <protectedRange sqref="O15:Q397 L29:L393 N15:N31 M19:M31 M33:N397 J12:J394 K7:K8 L21:L27 K13:K395 A13:A395 B12:I60 B67:I394 B61:E63 D64:I66 B64:C65 B6:J7 K5:L6 R5:XFD8 R13:XFD395 A1:XFD4 M5:Q10 M11:O14 B5:I5 A7:A8" name="Range1"/>
  </protectedRanges>
  <mergeCells count="22">
    <mergeCell ref="J16:J17"/>
    <mergeCell ref="J18:J19"/>
    <mergeCell ref="G34:I34"/>
    <mergeCell ref="B61:E61"/>
    <mergeCell ref="B62:E62"/>
    <mergeCell ref="B9:D9"/>
    <mergeCell ref="B12:D12"/>
    <mergeCell ref="B13:I13"/>
    <mergeCell ref="B14:I14"/>
    <mergeCell ref="B16:B17"/>
    <mergeCell ref="C16:C17"/>
    <mergeCell ref="D16:D17"/>
    <mergeCell ref="E16:E17"/>
    <mergeCell ref="F16:F17"/>
    <mergeCell ref="G16:G17"/>
    <mergeCell ref="H16:H17"/>
    <mergeCell ref="I16:I17"/>
    <mergeCell ref="B1:J1"/>
    <mergeCell ref="B2:J2"/>
    <mergeCell ref="B3:I3"/>
    <mergeCell ref="E6:F6"/>
    <mergeCell ref="G6:H6"/>
  </mergeCells>
  <conditionalFormatting sqref="E10:E11">
    <cfRule type="containsBlanks" dxfId="39" priority="2">
      <formula>LEN(TRIM(E10))=0</formula>
    </cfRule>
  </conditionalFormatting>
  <conditionalFormatting sqref="G21:G28 G30:G32 G35:G59">
    <cfRule type="cellIs" dxfId="38" priority="1" operator="equal">
      <formula>0</formula>
    </cfRule>
  </conditionalFormatting>
  <dataValidations count="1">
    <dataValidation allowBlank="1" showErrorMessage="1" sqref="D12:D18 C8:D8 E8:E18 F8:I19 D19:E19 B12:C19 C10:D11" xr:uid="{3C4528D2-CD9C-4038-86EE-DC02E6D8AC13}"/>
  </dataValidations>
  <hyperlinks>
    <hyperlink ref="I29" r:id="rId1" xr:uid="{D8EC8E21-7BF8-4483-A5F6-BEACFFEA8345}"/>
    <hyperlink ref="G64:H64" r:id="rId2" display="Minn. R. 7007.1300, subp. 3(I)" xr:uid="{06507108-5C33-43EC-986E-B23F6C7140D3}"/>
  </hyperlinks>
  <pageMargins left="0.25" right="0.25" top="0.5" bottom="0.5" header="0.3" footer="0.3"/>
  <pageSetup scale="65" fitToHeight="0" orientation="portrait" r:id="rId3"/>
  <headerFooter>
    <oddFooter>&amp;L&amp;"Arial,Italic"&amp;8p-sbap5-43&amp;C&amp;"Arial,Italic"&amp;8https://www.pca.state.mn.us  •  Available in alternative formats  •  Use your preferred relay service&amp;R&amp;"Arial,Italic"&amp;8Page &amp;P of &amp;N</oddFooter>
    <firstFooter>&amp;L&amp;10Internal Combustion Engine Calculator - Instructions&amp;R&amp;10&amp;P</firstFooter>
  </headerFooter>
  <rowBreaks count="1" manualBreakCount="1">
    <brk id="34" min="1" max="9" man="1"/>
  </rowBreaks>
  <extLst>
    <ext xmlns:x14="http://schemas.microsoft.com/office/spreadsheetml/2009/9/main" uri="{CCE6A557-97BC-4b89-ADB6-D9C93CAAB3DF}">
      <x14:dataValidations xmlns:xm="http://schemas.microsoft.com/office/excel/2006/main" count="3">
        <x14:dataValidation type="list" allowBlank="1" showInputMessage="1" showErrorMessage="1" xr:uid="{58BAA4DA-CE02-4F9C-A481-FBBE47542A32}">
          <x14:formula1>
            <xm:f>'Data validation'!$A$6:$A$13</xm:f>
          </x14:formula1>
          <xm:sqref>E6:F6</xm:sqref>
        </x14:dataValidation>
        <x14:dataValidation type="list" allowBlank="1" showInputMessage="1" showErrorMessage="1" xr:uid="{D94C85D7-0947-4351-8F24-9372C3B90D27}">
          <x14:formula1>
            <xm:f>'Data validation'!$A$17:$A$19</xm:f>
          </x14:formula1>
          <xm:sqref>E7</xm:sqref>
        </x14:dataValidation>
        <x14:dataValidation type="list" allowBlank="1" showInputMessage="1" showErrorMessage="1" xr:uid="{0024E996-5E49-4323-8427-2D9723A59AB2}">
          <x14:formula1>
            <xm:f>'Data validation'!$B$5:$B$7</xm:f>
          </x14:formula1>
          <xm:sqref>B9:D9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20376-7986-4CA4-9957-054A389C2088}">
  <sheetPr codeName="Sheet10">
    <tabColor rgb="FFD1EAFF"/>
    <pageSetUpPr fitToPage="1"/>
  </sheetPr>
  <dimension ref="A1:T400"/>
  <sheetViews>
    <sheetView showGridLines="0" zoomScaleNormal="100" zoomScaleSheetLayoutView="100" zoomScalePageLayoutView="85" workbookViewId="0">
      <selection activeCell="E6" sqref="E6:F6"/>
    </sheetView>
  </sheetViews>
  <sheetFormatPr defaultColWidth="8.85546875" defaultRowHeight="15" x14ac:dyDescent="0.25"/>
  <cols>
    <col min="1" max="1" width="5.140625" style="3" customWidth="1"/>
    <col min="2" max="2" width="21.140625" style="3" customWidth="1"/>
    <col min="3" max="3" width="9" style="3" customWidth="1"/>
    <col min="4" max="5" width="17.85546875" style="3" customWidth="1"/>
    <col min="6" max="6" width="19.28515625" style="3" customWidth="1"/>
    <col min="7" max="9" width="17.85546875" style="3" customWidth="1"/>
    <col min="10" max="10" width="16" style="3" customWidth="1"/>
    <col min="11" max="13" width="12" style="6" customWidth="1"/>
    <col min="14" max="18" width="8.85546875" style="6"/>
    <col min="19" max="20" width="8.85546875" style="295"/>
    <col min="21" max="16384" width="8.85546875" style="3"/>
  </cols>
  <sheetData>
    <row r="1" spans="1:20" s="534" customFormat="1" ht="12.75" x14ac:dyDescent="0.2">
      <c r="B1" s="654" t="str">
        <f>Instructions!G2</f>
        <v>p-sbap5-30 • 7/31/25</v>
      </c>
      <c r="C1" s="654"/>
      <c r="D1" s="654"/>
      <c r="E1" s="654"/>
      <c r="F1" s="654"/>
      <c r="G1" s="654"/>
      <c r="H1" s="654"/>
      <c r="I1" s="654"/>
      <c r="J1" s="654"/>
    </row>
    <row r="2" spans="1:20" ht="19.5" thickBot="1" x14ac:dyDescent="0.3">
      <c r="B2" s="566" t="s">
        <v>649</v>
      </c>
      <c r="C2" s="566"/>
      <c r="D2" s="566"/>
      <c r="E2" s="566"/>
      <c r="F2" s="566"/>
      <c r="G2" s="566"/>
      <c r="H2" s="566"/>
      <c r="I2" s="566"/>
      <c r="J2" s="566"/>
      <c r="K2" s="3"/>
      <c r="L2" s="3"/>
      <c r="M2" s="3"/>
      <c r="N2" s="3"/>
      <c r="O2" s="3"/>
      <c r="P2" s="3"/>
      <c r="Q2" s="3"/>
      <c r="R2" s="3"/>
      <c r="S2" s="3"/>
      <c r="T2" s="3"/>
    </row>
    <row r="3" spans="1:20" s="296" customFormat="1" ht="14.25" x14ac:dyDescent="0.2">
      <c r="B3" s="655" t="s">
        <v>650</v>
      </c>
      <c r="C3" s="655"/>
      <c r="D3" s="655"/>
      <c r="E3" s="655"/>
      <c r="F3" s="655"/>
      <c r="G3" s="655"/>
      <c r="H3" s="655"/>
      <c r="I3" s="655"/>
      <c r="J3" s="213"/>
    </row>
    <row r="4" spans="1:20" s="296" customFormat="1" x14ac:dyDescent="0.25">
      <c r="B4" s="511"/>
      <c r="C4" s="462"/>
      <c r="D4" s="462"/>
      <c r="E4" s="462"/>
      <c r="F4" s="462"/>
      <c r="G4" s="462"/>
      <c r="H4" s="462"/>
      <c r="I4" s="462"/>
      <c r="J4" s="213"/>
    </row>
    <row r="5" spans="1:20" s="296" customFormat="1" ht="15.75" customHeight="1" x14ac:dyDescent="0.25">
      <c r="A5" s="467"/>
      <c r="B5" s="514" t="s">
        <v>651</v>
      </c>
      <c r="C5" s="513"/>
      <c r="D5" s="512"/>
      <c r="E5" s="512"/>
      <c r="F5" s="512"/>
      <c r="G5" s="512"/>
      <c r="H5" s="213"/>
      <c r="I5" s="213"/>
    </row>
    <row r="6" spans="1:20" s="296" customFormat="1" ht="15.75" customHeight="1" x14ac:dyDescent="0.25">
      <c r="A6" s="467"/>
      <c r="B6" s="515"/>
      <c r="C6" s="515"/>
      <c r="D6" s="463" t="s">
        <v>131</v>
      </c>
      <c r="E6" s="656" t="s">
        <v>93</v>
      </c>
      <c r="F6" s="657"/>
      <c r="G6" s="658"/>
      <c r="H6" s="658"/>
      <c r="I6" s="462"/>
    </row>
    <row r="7" spans="1:20" s="296" customFormat="1" ht="15" customHeight="1" x14ac:dyDescent="0.2">
      <c r="B7" s="515"/>
      <c r="C7" s="515"/>
      <c r="D7" s="463" t="s">
        <v>132</v>
      </c>
      <c r="E7" s="297" t="s">
        <v>93</v>
      </c>
      <c r="F7" s="516"/>
      <c r="G7" s="517"/>
      <c r="H7" s="517"/>
      <c r="I7" s="517"/>
      <c r="J7" s="213"/>
      <c r="K7" s="6"/>
    </row>
    <row r="8" spans="1:20" s="296" customFormat="1" ht="15" customHeight="1" x14ac:dyDescent="0.2">
      <c r="C8" s="515"/>
      <c r="D8" s="463" t="str">
        <f>IF($E$6='Data validation'!$A$6," ",IF(OR($E$6=rd,$E$6=rg),"Rated mechanical output",IF(OR($E$6=pro,OR($E$6=ngl,OR($E$6=ngr,OR($E$6=tng,$E$6=ng2l)))),"Rated fuel input"," ")))</f>
        <v xml:space="preserve"> </v>
      </c>
      <c r="E8" s="298">
        <v>0</v>
      </c>
      <c r="F8" s="517" t="str">
        <f>IF($D$8=" "," ",IF($D$8="Rated mechanical output",'Data validation'!$A$24,IF(AND($D$8="Rated fuel input",$E$6=pro),'Data validation'!$A$26,'Data validation'!$A$25)))</f>
        <v xml:space="preserve"> </v>
      </c>
      <c r="G8" s="517"/>
      <c r="H8" s="517"/>
      <c r="I8" s="517"/>
      <c r="J8" s="213"/>
      <c r="K8" s="213"/>
      <c r="R8" s="6"/>
      <c r="S8" s="6"/>
      <c r="T8" s="6"/>
    </row>
    <row r="9" spans="1:20" s="296" customFormat="1" ht="15" customHeight="1" x14ac:dyDescent="0.2">
      <c r="B9" s="659" t="s">
        <v>398</v>
      </c>
      <c r="C9" s="660"/>
      <c r="D9" s="661"/>
      <c r="E9" s="298">
        <v>0</v>
      </c>
      <c r="F9" s="516" t="str">
        <f>IF($B$9='Data validation'!$B$5," ",IF($B$9='Data validation'!$B$6,'Data validation'!$B$11,IF(AND($B$9='Data validation'!$B$7,OR($E$6=tng,OR($E$6=ngl,OR($E$6=ngr,OR($E$6=ng2l))))),'Data validation'!$B$12,IF(AND($B$9='Data validation'!$B$7,OR($E$6=rd,OR($E$6=rg,OR($E$6=pro)))),'Data validation'!$B$13," "))))</f>
        <v xml:space="preserve"> </v>
      </c>
      <c r="G9" s="517"/>
      <c r="H9" s="517"/>
      <c r="I9" s="517"/>
      <c r="J9" s="213"/>
      <c r="K9" s="213"/>
      <c r="R9" s="6"/>
      <c r="S9" s="6"/>
      <c r="T9" s="6"/>
    </row>
    <row r="10" spans="1:20" s="296" customFormat="1" ht="15" customHeight="1" x14ac:dyDescent="0.2">
      <c r="C10" s="6"/>
      <c r="D10" s="464" t="str">
        <f>IF($F$8=" "," ",IF($F$8='Data validation'!$A$24,'Data validation'!$A$29,IF(OR($F$8='Data validation'!$A$25,$F$8='Data validation'!$A$26),'Data validation'!$A$30)))</f>
        <v xml:space="preserve"> </v>
      </c>
      <c r="E10" s="300" t="str">
        <f>IF(E6='Data validation'!A6," ",IF(E6=rd,'Engine emission factors'!F53,IF(E6=rg,'Engine emission factors'!F54,IF(OR(E6=ngl,OR(E6=ngr,OR(E6=tng,E6=ng2l))),'Engine emission factors'!G52,IF(E6=pro,'Engine emission factors'!H55," ")))))</f>
        <v xml:space="preserve"> </v>
      </c>
      <c r="F10" s="315" t="str">
        <f>IF($D$10=" "," ",IF($D$10='Data validation'!$A$29,"(Btu/HP-hr)",IF(AND($D$10='Data validation'!$A$30,$E$6=pro),"(Btu/gal)",IF($D$10='Data validation'!$A$30,"(Btu/scf)"))))</f>
        <v xml:space="preserve"> </v>
      </c>
      <c r="G10" s="315"/>
      <c r="H10" s="315"/>
      <c r="I10" s="315"/>
      <c r="J10" s="213"/>
      <c r="K10" s="213"/>
      <c r="M10" s="6"/>
      <c r="N10" s="6"/>
      <c r="O10" s="6"/>
      <c r="P10" s="6"/>
      <c r="Q10" s="6"/>
      <c r="R10" s="6"/>
      <c r="S10" s="6"/>
      <c r="T10" s="6"/>
    </row>
    <row r="11" spans="1:20" s="296" customFormat="1" ht="15" customHeight="1" x14ac:dyDescent="0.2">
      <c r="C11" s="6"/>
      <c r="D11" s="464" t="str">
        <f>IF($E$6='Data validation'!$A$6," ",IF($E$6=rd,"Heat value of fuel",IF($E$6=rg,"Heat value of fuel"," ")))</f>
        <v xml:space="preserve"> </v>
      </c>
      <c r="E11" s="300" t="str">
        <f>IF(E6=rd,'Engine emission factors'!H53,IF(E6=rg,'Engine emission factors'!H54," "))</f>
        <v xml:space="preserve"> </v>
      </c>
      <c r="F11" s="315" t="str">
        <f>IF($E$6='Data validation'!$A$6," ",IF($E$6=rd,"(Btu/gal)",IF($E$6=rg,"(Btu/gal)"," ")))</f>
        <v xml:space="preserve"> </v>
      </c>
      <c r="G11" s="315"/>
      <c r="H11" s="315"/>
      <c r="I11" s="315"/>
      <c r="J11" s="213"/>
      <c r="K11" s="213"/>
      <c r="P11" s="6"/>
      <c r="Q11" s="6"/>
      <c r="R11" s="6"/>
      <c r="S11" s="6"/>
      <c r="T11" s="6"/>
    </row>
    <row r="12" spans="1:20" s="296" customFormat="1" ht="15" customHeight="1" x14ac:dyDescent="0.2">
      <c r="B12" s="662" t="s">
        <v>133</v>
      </c>
      <c r="C12" s="662"/>
      <c r="D12" s="662"/>
      <c r="E12" s="301" t="str">
        <f>IF(E6=rd,"0.0015",IF(E6=pro,"0.54",IF(E6=tng,"0.00065","NA")))</f>
        <v>NA</v>
      </c>
      <c r="F12" s="517" t="str">
        <f>IF(OR(E6=rd,E6=tng),"%",IF(E6=pro,"gr/100ft3",""))</f>
        <v/>
      </c>
      <c r="G12" s="517"/>
      <c r="H12" s="517"/>
      <c r="I12" s="517"/>
      <c r="J12" s="213"/>
      <c r="K12" s="213"/>
      <c r="P12" s="6"/>
      <c r="Q12" s="6"/>
      <c r="R12" s="6"/>
      <c r="S12" s="6"/>
      <c r="T12" s="6"/>
    </row>
    <row r="13" spans="1:20" s="296" customFormat="1" ht="15" customHeight="1" x14ac:dyDescent="0.2">
      <c r="B13" s="663"/>
      <c r="C13" s="663"/>
      <c r="D13" s="663"/>
      <c r="E13" s="663"/>
      <c r="F13" s="663"/>
      <c r="G13" s="663"/>
      <c r="H13" s="663"/>
      <c r="I13" s="663"/>
      <c r="J13" s="213"/>
      <c r="K13" s="213"/>
      <c r="P13" s="6"/>
      <c r="Q13" s="6"/>
      <c r="R13" s="6"/>
      <c r="S13" s="6"/>
      <c r="T13" s="6"/>
    </row>
    <row r="14" spans="1:20" s="296" customFormat="1" ht="15" customHeight="1" thickBot="1" x14ac:dyDescent="0.25">
      <c r="B14" s="664" t="s">
        <v>399</v>
      </c>
      <c r="C14" s="664"/>
      <c r="D14" s="664"/>
      <c r="E14" s="664"/>
      <c r="F14" s="664"/>
      <c r="G14" s="664"/>
      <c r="H14" s="664"/>
      <c r="I14" s="664"/>
      <c r="J14" s="213"/>
      <c r="K14" s="213"/>
      <c r="P14" s="6"/>
      <c r="Q14" s="6"/>
      <c r="R14" s="6"/>
      <c r="S14" s="6"/>
      <c r="T14" s="6"/>
    </row>
    <row r="15" spans="1:20" s="296" customFormat="1" ht="15" customHeight="1" x14ac:dyDescent="0.2">
      <c r="B15" s="303"/>
      <c r="C15" s="304" t="s">
        <v>24</v>
      </c>
      <c r="D15" s="305" t="s">
        <v>25</v>
      </c>
      <c r="E15" s="305" t="s">
        <v>26</v>
      </c>
      <c r="F15" s="304" t="s">
        <v>27</v>
      </c>
      <c r="G15" s="304" t="s">
        <v>28</v>
      </c>
      <c r="H15" s="306"/>
      <c r="I15" s="307"/>
      <c r="J15" s="308"/>
      <c r="K15" s="213"/>
      <c r="N15" s="6"/>
      <c r="O15" s="6"/>
      <c r="P15" s="6"/>
      <c r="Q15" s="6"/>
      <c r="R15" s="6"/>
      <c r="S15" s="6"/>
      <c r="T15" s="6"/>
    </row>
    <row r="16" spans="1:20" s="296" customFormat="1" ht="15" customHeight="1" x14ac:dyDescent="0.2">
      <c r="B16" s="665" t="s">
        <v>38</v>
      </c>
      <c r="C16" s="666" t="s">
        <v>400</v>
      </c>
      <c r="D16" s="667" t="s">
        <v>401</v>
      </c>
      <c r="E16" s="667" t="s">
        <v>402</v>
      </c>
      <c r="F16" s="667" t="s">
        <v>403</v>
      </c>
      <c r="G16" s="667" t="s">
        <v>39</v>
      </c>
      <c r="H16" s="668" t="s">
        <v>40</v>
      </c>
      <c r="I16" s="669" t="s">
        <v>41</v>
      </c>
      <c r="J16" s="670" t="s">
        <v>404</v>
      </c>
      <c r="K16" s="213"/>
      <c r="N16" s="6"/>
      <c r="O16" s="6"/>
      <c r="P16" s="6"/>
      <c r="Q16" s="6"/>
      <c r="R16" s="6"/>
      <c r="S16" s="6"/>
      <c r="T16" s="6"/>
    </row>
    <row r="17" spans="2:20" s="296" customFormat="1" ht="15" customHeight="1" x14ac:dyDescent="0.2">
      <c r="B17" s="665"/>
      <c r="C17" s="666"/>
      <c r="D17" s="667"/>
      <c r="E17" s="667"/>
      <c r="F17" s="667"/>
      <c r="G17" s="667"/>
      <c r="H17" s="668"/>
      <c r="I17" s="669"/>
      <c r="J17" s="670"/>
      <c r="K17" s="213"/>
      <c r="N17" s="6"/>
      <c r="O17" s="6"/>
      <c r="P17" s="6"/>
      <c r="Q17" s="6"/>
      <c r="R17" s="6"/>
      <c r="S17" s="6"/>
      <c r="T17" s="6"/>
    </row>
    <row r="18" spans="2:20" s="296" customFormat="1" ht="15" customHeight="1" x14ac:dyDescent="0.2">
      <c r="B18" s="309"/>
      <c r="C18" s="310"/>
      <c r="D18" s="311" t="s">
        <v>652</v>
      </c>
      <c r="E18" s="311" t="s">
        <v>405</v>
      </c>
      <c r="F18" s="312" t="s">
        <v>42</v>
      </c>
      <c r="G18" s="312" t="s">
        <v>135</v>
      </c>
      <c r="H18" s="313" t="s">
        <v>43</v>
      </c>
      <c r="I18" s="314" t="s">
        <v>44</v>
      </c>
      <c r="J18" s="671" t="s">
        <v>44</v>
      </c>
      <c r="K18" s="6"/>
      <c r="N18" s="6"/>
      <c r="O18" s="6"/>
      <c r="P18" s="6"/>
      <c r="Q18" s="6"/>
      <c r="R18" s="6"/>
      <c r="S18" s="6"/>
      <c r="T18" s="6"/>
    </row>
    <row r="19" spans="2:20" s="315" customFormat="1" ht="15" customHeight="1" thickBot="1" x14ac:dyDescent="0.25">
      <c r="B19" s="316"/>
      <c r="C19" s="317"/>
      <c r="D19" s="318">
        <f>IF(E6=select,0,IF(OR(E6=rd,E6=rg),(E8*E10/10^6),IF(E6=pro,(E8*E10/10^6),IF(OR(E6=ngl,OR(E6=ngr,OR(E6=tng,E6=ng2l))),(E8*E10/(10^6))))))</f>
        <v>0</v>
      </c>
      <c r="E19" s="318">
        <f>IF(F9='Data validation'!B12,E9,IF(AND(F9='Data validation'!B13,E6=rd),(('Engine emission factors'!H53*E9)/1000000),IF(AND(F9='Data validation'!B13,E6=rg),(('Engine emission factors'!H54*E9)/1000000),IF(AND(F9='Data validation'!B13,E6=pro),(('Engine emission factors'!H55*E9)/1000000),IF(F9='Data validation'!B11,(E9*D19),IF(F9=" ",0))))))</f>
        <v>0</v>
      </c>
      <c r="F19" s="319">
        <f>IF($E$7=so,0,IF($E$7=Routine,8760,IF($E$7=Emer,500)))</f>
        <v>0</v>
      </c>
      <c r="G19" s="320" t="s">
        <v>58</v>
      </c>
      <c r="H19" s="313" t="s">
        <v>406</v>
      </c>
      <c r="I19" s="314" t="s">
        <v>479</v>
      </c>
      <c r="J19" s="672"/>
      <c r="K19" s="6"/>
      <c r="M19" s="6"/>
      <c r="N19" s="6"/>
      <c r="O19" s="6"/>
      <c r="P19" s="6"/>
      <c r="Q19" s="6"/>
      <c r="R19" s="6"/>
      <c r="S19" s="6"/>
      <c r="T19" s="6"/>
    </row>
    <row r="20" spans="2:20" s="296" customFormat="1" ht="15" customHeight="1" x14ac:dyDescent="0.2">
      <c r="B20" s="321" t="s">
        <v>61</v>
      </c>
      <c r="C20" s="322"/>
      <c r="D20" s="323"/>
      <c r="E20" s="324"/>
      <c r="F20" s="325"/>
      <c r="G20" s="326"/>
      <c r="H20" s="327"/>
      <c r="I20" s="328" t="s">
        <v>407</v>
      </c>
      <c r="J20" s="329"/>
      <c r="K20" s="6"/>
      <c r="M20" s="6"/>
      <c r="N20" s="6"/>
      <c r="O20" s="6"/>
      <c r="P20" s="6"/>
      <c r="Q20" s="6"/>
      <c r="R20" s="6"/>
      <c r="S20" s="6"/>
      <c r="T20" s="6"/>
    </row>
    <row r="21" spans="2:20" s="296" customFormat="1" ht="15" customHeight="1" x14ac:dyDescent="0.2">
      <c r="B21" s="330" t="s">
        <v>45</v>
      </c>
      <c r="D21" s="331"/>
      <c r="E21" s="332"/>
      <c r="F21" s="333"/>
      <c r="G21" s="334">
        <f>IF($E$6=rd,IF($E$8&gt;=600,'Engine emission factors'!$C5,'Engine emission factors'!$B5),IF($E$6=rg,'Engine emission factors'!$E5,IF($E$6=tng,'Engine emission factors'!$D5,IF($E$6=ngr,'Engine emission factors'!$F5,IF($E$6=ngl,'Engine emission factors'!$G5,IF($E$6=ng2l,'Engine emission factors'!$H5,IF($E$6=pro,'Engine emission factors'!$I5,IF($E$6=select,'Engine emission factors'!$AA5))))))))</f>
        <v>0</v>
      </c>
      <c r="H21" s="335">
        <f>$D$19*$F$19*$G21/2000</f>
        <v>0</v>
      </c>
      <c r="I21" s="336">
        <f>($E$19*$G21)/2000</f>
        <v>0</v>
      </c>
      <c r="J21" s="337">
        <v>1</v>
      </c>
      <c r="K21" s="6"/>
      <c r="L21" s="213"/>
      <c r="M21" s="6"/>
      <c r="N21" s="6"/>
      <c r="O21" s="6"/>
      <c r="P21" s="6"/>
      <c r="Q21" s="6"/>
      <c r="R21" s="6"/>
      <c r="S21" s="6"/>
      <c r="T21" s="6"/>
    </row>
    <row r="22" spans="2:20" s="296" customFormat="1" ht="15" customHeight="1" x14ac:dyDescent="0.2">
      <c r="B22" s="330" t="s">
        <v>46</v>
      </c>
      <c r="D22" s="331"/>
      <c r="E22" s="332"/>
      <c r="F22" s="333"/>
      <c r="G22" s="334">
        <f>IF($E$6=rd,IF($E$8&gt;=600,'Engine emission factors'!$C6,'Engine emission factors'!$B6),IF($E$6=rg,'Engine emission factors'!$E6,IF($E$6=tng,'Engine emission factors'!$D6,IF($E$6=ngr,'Engine emission factors'!$F6,IF($E$6=ngl,'Engine emission factors'!$G6,IF($E$6=ng2l,'Engine emission factors'!$H6,IF($E$6=pro,'Engine emission factors'!$I6,IF($E$6=select,'Engine emission factors'!$AA6))))))))</f>
        <v>0</v>
      </c>
      <c r="H22" s="338">
        <f t="shared" ref="H22:H27" si="0">$D$19*$F$19*$G22/2000</f>
        <v>0</v>
      </c>
      <c r="I22" s="336">
        <f t="shared" ref="I22:I27" si="1">($E$19*$G22)/2000</f>
        <v>0</v>
      </c>
      <c r="J22" s="339">
        <v>1</v>
      </c>
      <c r="K22" s="6"/>
      <c r="L22" s="6"/>
      <c r="M22" s="6"/>
      <c r="N22" s="6"/>
      <c r="O22" s="6"/>
      <c r="P22" s="6"/>
      <c r="Q22" s="6"/>
      <c r="R22" s="6"/>
      <c r="S22" s="6"/>
      <c r="T22" s="6"/>
    </row>
    <row r="23" spans="2:20" s="296" customFormat="1" ht="15" customHeight="1" x14ac:dyDescent="0.2">
      <c r="B23" s="330" t="s">
        <v>84</v>
      </c>
      <c r="D23" s="331"/>
      <c r="E23" s="332"/>
      <c r="F23" s="333"/>
      <c r="G23" s="334">
        <f>IF($E$6=rd,IF($E$8&gt;=600,'Engine emission factors'!$C7,'Engine emission factors'!$B7),IF($E$6=rg,'Engine emission factors'!$E7,IF($E$6=tng,'Engine emission factors'!$D7,IF($E$6=ngr,'Engine emission factors'!$F7,IF($E$6=ngl,'Engine emission factors'!$G7,IF($E$6=ng2l,'Engine emission factors'!$H7,IF($E$6=pro,'Engine emission factors'!$I7,IF($E$6=select,'Engine emission factors'!$AA7))))))))</f>
        <v>0</v>
      </c>
      <c r="H23" s="338">
        <f t="shared" si="0"/>
        <v>0</v>
      </c>
      <c r="I23" s="336">
        <f t="shared" si="1"/>
        <v>0</v>
      </c>
      <c r="J23" s="340"/>
      <c r="K23" s="6"/>
      <c r="L23" s="6"/>
      <c r="M23" s="302"/>
      <c r="N23" s="6"/>
      <c r="O23" s="6"/>
      <c r="P23" s="6"/>
      <c r="Q23" s="6"/>
      <c r="R23" s="6"/>
      <c r="S23" s="6"/>
      <c r="T23" s="6"/>
    </row>
    <row r="24" spans="2:20" s="296" customFormat="1" ht="15" customHeight="1" x14ac:dyDescent="0.2">
      <c r="B24" s="330" t="s">
        <v>47</v>
      </c>
      <c r="D24" s="331"/>
      <c r="E24" s="332"/>
      <c r="F24" s="333"/>
      <c r="G24" s="334">
        <f>IF($E$6=rd,IF($E$8&gt;=600,'Engine emission factors'!$C8*$E$12,'Engine emission factors'!$B8*$E$12),IF($E$6=rg,'Engine emission factors'!$E8,IF($E$6=tng,'Engine emission factors'!$D8*$E$12,IF($E$6=ngr,'Engine emission factors'!$F8,IF($E$6=ngl,'Engine emission factors'!$G8,IF($E$6=ng2l,'Engine emission factors'!$H8,IF($E$6=pro,'Engine emission factors'!$I8*$E$12,IF($E$6=select,'Engine emission factors'!$AA8))))))))</f>
        <v>0</v>
      </c>
      <c r="H24" s="338">
        <f t="shared" si="0"/>
        <v>0</v>
      </c>
      <c r="I24" s="336">
        <f t="shared" si="1"/>
        <v>0</v>
      </c>
      <c r="J24" s="339">
        <v>1</v>
      </c>
      <c r="K24" s="6"/>
      <c r="L24" s="6"/>
      <c r="M24" s="6"/>
      <c r="N24" s="6"/>
      <c r="O24" s="6"/>
      <c r="P24" s="6"/>
      <c r="Q24" s="6"/>
      <c r="R24" s="6"/>
      <c r="S24" s="6"/>
      <c r="T24" s="6"/>
    </row>
    <row r="25" spans="2:20" s="296" customFormat="1" ht="15" customHeight="1" x14ac:dyDescent="0.2">
      <c r="B25" s="330" t="s">
        <v>48</v>
      </c>
      <c r="D25" s="331"/>
      <c r="E25" s="332"/>
      <c r="F25" s="333"/>
      <c r="G25" s="334">
        <f>IF($E$6=rd,IF($E$8&gt;=600,'Engine emission factors'!$C9,'Engine emission factors'!$B9),IF($E$6=rg,'Engine emission factors'!$E9,IF($E$6=tng,'Engine emission factors'!$D9,IF($E$6=ngr,'Engine emission factors'!$F9,IF($E$6=ngl,'Engine emission factors'!$G9,IF($E$6=ng2l,'Engine emission factors'!$H9,IF($E$6=pro,'Engine emission factors'!$I9,IF($E$6=select,'Engine emission factors'!$AA9))))))))</f>
        <v>0</v>
      </c>
      <c r="H25" s="338">
        <f t="shared" si="0"/>
        <v>0</v>
      </c>
      <c r="I25" s="336">
        <f t="shared" si="1"/>
        <v>0</v>
      </c>
      <c r="J25" s="339">
        <v>1</v>
      </c>
      <c r="K25" s="6"/>
      <c r="L25" s="6"/>
      <c r="M25" s="6"/>
      <c r="N25" s="6"/>
      <c r="O25" s="6"/>
      <c r="P25" s="6"/>
      <c r="Q25" s="6"/>
      <c r="R25" s="6"/>
      <c r="S25" s="6"/>
      <c r="T25" s="6"/>
    </row>
    <row r="26" spans="2:20" s="296" customFormat="1" ht="15" customHeight="1" x14ac:dyDescent="0.2">
      <c r="B26" s="330" t="s">
        <v>49</v>
      </c>
      <c r="D26" s="331"/>
      <c r="E26" s="332"/>
      <c r="F26" s="333"/>
      <c r="G26" s="334">
        <f>IF($E$6=rd,IF($E$8&gt;=600,'Engine emission factors'!$C10,'Engine emission factors'!$B10),IF($E$6=rg,'Engine emission factors'!$E10,IF($E$6=tng,'Engine emission factors'!$D10,IF($E$6=ngr,'Engine emission factors'!$F10,IF($E$6=ngl,'Engine emission factors'!$G10,IF($E$6=ng2l,'Engine emission factors'!$H10,IF($E$6=pro,'Engine emission factors'!$I10,IF($E$6=select,'Engine emission factors'!$AA10))))))))</f>
        <v>0</v>
      </c>
      <c r="H26" s="338">
        <f t="shared" si="0"/>
        <v>0</v>
      </c>
      <c r="I26" s="336">
        <f t="shared" si="1"/>
        <v>0</v>
      </c>
      <c r="J26" s="339">
        <v>1</v>
      </c>
      <c r="K26" s="6"/>
      <c r="L26" s="6"/>
      <c r="M26" s="6"/>
      <c r="N26" s="6"/>
      <c r="O26" s="6"/>
      <c r="P26" s="6"/>
      <c r="Q26" s="6"/>
      <c r="R26" s="6"/>
      <c r="S26" s="6"/>
      <c r="T26" s="6"/>
    </row>
    <row r="27" spans="2:20" s="296" customFormat="1" ht="15" customHeight="1" x14ac:dyDescent="0.2">
      <c r="B27" s="330" t="s">
        <v>50</v>
      </c>
      <c r="D27" s="331"/>
      <c r="E27" s="332"/>
      <c r="F27" s="333"/>
      <c r="G27" s="334">
        <f>IF($E$6=rd,IF($E$8&gt;=600,'Engine emission factors'!$C11,'Engine emission factors'!$B11),IF($E$6=rg,'Engine emission factors'!$E11,IF($E$6=tng,'Engine emission factors'!$D11,IF($E$6=ngr,'Engine emission factors'!$F11,IF($E$6=ngl,'Engine emission factors'!$G11,IF($E$6=ng2l,'Engine emission factors'!$H11,IF($E$6=pro,'Engine emission factors'!$I11,IF($E$6=select,'Engine emission factors'!$AA11))))))))</f>
        <v>0</v>
      </c>
      <c r="H27" s="338">
        <f t="shared" si="0"/>
        <v>0</v>
      </c>
      <c r="I27" s="336">
        <f t="shared" si="1"/>
        <v>0</v>
      </c>
      <c r="J27" s="339">
        <v>2</v>
      </c>
      <c r="K27" s="6"/>
      <c r="L27" s="6"/>
      <c r="M27" s="6"/>
      <c r="N27" s="6"/>
      <c r="O27" s="6"/>
      <c r="P27" s="6"/>
      <c r="Q27" s="6"/>
      <c r="R27" s="6"/>
      <c r="S27" s="6"/>
      <c r="T27" s="6"/>
    </row>
    <row r="28" spans="2:20" s="296" customFormat="1" ht="15" customHeight="1" thickBot="1" x14ac:dyDescent="0.25">
      <c r="B28" s="341" t="s">
        <v>51</v>
      </c>
      <c r="C28" s="342"/>
      <c r="D28" s="343"/>
      <c r="E28" s="344"/>
      <c r="F28" s="345"/>
      <c r="G28" s="346" t="s">
        <v>62</v>
      </c>
      <c r="H28" s="347">
        <v>0</v>
      </c>
      <c r="I28" s="348">
        <v>0</v>
      </c>
      <c r="J28" s="349"/>
      <c r="K28" s="6"/>
      <c r="M28" s="6"/>
      <c r="N28" s="6"/>
      <c r="O28" s="6"/>
      <c r="P28" s="6"/>
      <c r="Q28" s="6"/>
      <c r="R28" s="6"/>
      <c r="S28" s="6"/>
      <c r="T28" s="6"/>
    </row>
    <row r="29" spans="2:20" s="296" customFormat="1" ht="15" customHeight="1" x14ac:dyDescent="0.2">
      <c r="B29" s="321" t="s">
        <v>60</v>
      </c>
      <c r="C29" s="322"/>
      <c r="D29" s="323"/>
      <c r="E29" s="324"/>
      <c r="F29" s="325"/>
      <c r="G29" s="326"/>
      <c r="H29" s="327"/>
      <c r="I29" s="350" t="s">
        <v>83</v>
      </c>
      <c r="J29" s="351"/>
      <c r="K29" s="6"/>
      <c r="L29" s="6"/>
      <c r="M29" s="6"/>
      <c r="N29" s="6"/>
      <c r="O29" s="6"/>
      <c r="P29" s="6"/>
      <c r="Q29" s="6"/>
      <c r="R29" s="6"/>
      <c r="S29" s="6"/>
      <c r="T29" s="6"/>
    </row>
    <row r="30" spans="2:20" s="296" customFormat="1" ht="15" customHeight="1" x14ac:dyDescent="0.3">
      <c r="B30" s="352" t="s">
        <v>309</v>
      </c>
      <c r="C30" s="6">
        <v>1</v>
      </c>
      <c r="D30" s="353"/>
      <c r="E30" s="353"/>
      <c r="F30" s="353"/>
      <c r="G30" s="334">
        <f>IF($E$6=rd,IF($E$8&gt;=600,'Engine emission factors'!$C13,'Engine emission factors'!$B13),IF($E$6=rg,'Engine emission factors'!$E13,IF($E$6=tng,'Engine emission factors'!$D13,IF($E$6=ngr,'Engine emission factors'!$F13,IF($E$6=ngl,'Engine emission factors'!$G13,IF($E$6=ng2l,'Engine emission factors'!$H13,IF($E$6=pro,'Engine emission factors'!$I13,IF($E$6=select,'Engine emission factors'!$AA13))))))))</f>
        <v>0</v>
      </c>
      <c r="H30" s="335">
        <f>$D$19*$F$19*$G30/2000</f>
        <v>0</v>
      </c>
      <c r="I30" s="336">
        <f>($E$19*$G30)/2000</f>
        <v>0</v>
      </c>
      <c r="J30" s="354"/>
      <c r="K30" s="6"/>
      <c r="L30" s="6"/>
      <c r="M30" s="6"/>
      <c r="N30" s="6"/>
      <c r="O30" s="6"/>
      <c r="P30" s="6"/>
      <c r="Q30" s="6"/>
      <c r="R30" s="6"/>
      <c r="S30" s="6"/>
      <c r="T30" s="6"/>
    </row>
    <row r="31" spans="2:20" s="296" customFormat="1" ht="15" customHeight="1" x14ac:dyDescent="0.3">
      <c r="B31" s="352" t="s">
        <v>310</v>
      </c>
      <c r="C31" s="6">
        <v>25</v>
      </c>
      <c r="D31" s="353"/>
      <c r="E31" s="353"/>
      <c r="F31" s="353"/>
      <c r="G31" s="334">
        <f>IF($E$6=rd,IF($E$8&gt;=600,'Engine emission factors'!$C14,'Engine emission factors'!$B14),IF($E$6=rg,'Engine emission factors'!$E14,IF($E$6=tng,'Engine emission factors'!$D14,IF($E$6=ngr,'Engine emission factors'!$F14,IF($E$6=ngl,'Engine emission factors'!$G14,IF($E$6=ng2l,'Engine emission factors'!$H14,IF($E$6=pro,'Engine emission factors'!$I14,IF($E$6=select,'Engine emission factors'!$AA14))))))))</f>
        <v>0</v>
      </c>
      <c r="H31" s="356">
        <f>$D$19*$F$19*$G31/2000</f>
        <v>0</v>
      </c>
      <c r="I31" s="357">
        <f>($E$19*$G31)/2000</f>
        <v>0</v>
      </c>
      <c r="J31" s="354"/>
      <c r="K31" s="355"/>
      <c r="L31" s="355"/>
      <c r="M31" s="6"/>
      <c r="N31" s="6"/>
      <c r="O31" s="6"/>
      <c r="P31" s="6"/>
      <c r="Q31" s="6"/>
      <c r="R31" s="6"/>
      <c r="S31" s="6"/>
      <c r="T31" s="6"/>
    </row>
    <row r="32" spans="2:20" s="296" customFormat="1" ht="15" customHeight="1" x14ac:dyDescent="0.3">
      <c r="B32" s="352" t="s">
        <v>311</v>
      </c>
      <c r="C32" s="6">
        <v>298</v>
      </c>
      <c r="D32" s="353"/>
      <c r="E32" s="353"/>
      <c r="F32" s="353"/>
      <c r="G32" s="334">
        <f>IF($E$6=rd,IF($E$8&gt;=600,'Engine emission factors'!$C15,'Engine emission factors'!$B15),IF($E$6=rg,'Engine emission factors'!$E15,IF($E$6=tng,'Engine emission factors'!$D15,IF($E$6=ngr,'Engine emission factors'!$F15,IF($E$6=ngl,'Engine emission factors'!$G15,IF($E$6=ng2l,'Engine emission factors'!$H15,IF($E$6=pro,'Engine emission factors'!$I15,IF($E$6=select,'Engine emission factors'!$Q15))))))))</f>
        <v>0</v>
      </c>
      <c r="H32" s="356">
        <f>$D$19*$F$19*$G32/2000</f>
        <v>0</v>
      </c>
      <c r="I32" s="357">
        <f>($E$19*$G32)/2000</f>
        <v>0</v>
      </c>
      <c r="J32" s="358"/>
      <c r="K32" s="355"/>
      <c r="L32" s="6"/>
      <c r="O32" s="6"/>
      <c r="P32" s="6"/>
      <c r="Q32" s="6"/>
      <c r="R32" s="6"/>
      <c r="S32" s="6"/>
      <c r="T32" s="6"/>
    </row>
    <row r="33" spans="2:20" s="296" customFormat="1" ht="15" customHeight="1" thickBot="1" x14ac:dyDescent="0.25">
      <c r="B33" s="359"/>
      <c r="C33" s="360"/>
      <c r="D33" s="360"/>
      <c r="E33" s="360"/>
      <c r="F33" s="361" t="s">
        <v>408</v>
      </c>
      <c r="G33" s="362"/>
      <c r="H33" s="347">
        <f>(C30*H30)+(C31*H31)+(C32*H32)</f>
        <v>0</v>
      </c>
      <c r="I33" s="348">
        <f>(C30*I30)+(C31*I31)+(C32*I32)</f>
        <v>0</v>
      </c>
      <c r="J33" s="363">
        <v>1000</v>
      </c>
      <c r="K33" s="355"/>
      <c r="L33" s="6"/>
      <c r="M33" s="6"/>
      <c r="N33" s="6"/>
      <c r="O33" s="6"/>
      <c r="P33" s="6"/>
      <c r="Q33" s="6"/>
      <c r="R33" s="6"/>
      <c r="S33" s="6"/>
      <c r="T33" s="6"/>
    </row>
    <row r="34" spans="2:20" s="296" customFormat="1" ht="15" customHeight="1" x14ac:dyDescent="0.2">
      <c r="B34" s="321" t="s">
        <v>59</v>
      </c>
      <c r="C34" s="322"/>
      <c r="D34" s="323"/>
      <c r="E34" s="324"/>
      <c r="F34" s="325"/>
      <c r="G34" s="673" t="s">
        <v>407</v>
      </c>
      <c r="H34" s="673"/>
      <c r="I34" s="674"/>
      <c r="K34" s="6"/>
      <c r="L34" s="6"/>
      <c r="M34" s="6"/>
      <c r="N34" s="6"/>
      <c r="O34" s="6"/>
      <c r="P34" s="6"/>
      <c r="Q34" s="6"/>
      <c r="R34" s="6"/>
      <c r="S34" s="6"/>
      <c r="T34" s="6"/>
    </row>
    <row r="35" spans="2:20" s="296" customFormat="1" ht="15" customHeight="1" x14ac:dyDescent="0.2">
      <c r="B35" s="364" t="s">
        <v>136</v>
      </c>
      <c r="D35" s="265"/>
      <c r="E35" s="365"/>
      <c r="F35" s="212"/>
      <c r="G35" s="334">
        <f>IF($E$6=rd,IF($E$8&gt;=600,'Engine emission factors'!$C17,'Engine emission factors'!$B17),IF($E$6=rg,'Engine emission factors'!$E17,IF($E$6=tng,'Engine emission factors'!$D17,IF($E$6=ngr,'Engine emission factors'!$F17,IF($E$6=ngl,'Engine emission factors'!$G17,IF($E$6=ng2l,'Engine emission factors'!$H17,IF($E$6=pro,'Engine emission factors'!$I17,IF($E$6=select,'Engine emission factors'!$Q17))))))))</f>
        <v>0</v>
      </c>
      <c r="H35" s="356">
        <f t="shared" ref="H35:H59" si="2">$D$19*$F$19*$G35/2000</f>
        <v>0</v>
      </c>
      <c r="I35" s="357">
        <f>($E$19*$G35)/2000</f>
        <v>0</v>
      </c>
      <c r="K35" s="6"/>
      <c r="L35" s="6"/>
      <c r="M35" s="6"/>
      <c r="N35" s="6"/>
      <c r="O35" s="6"/>
      <c r="P35" s="6"/>
      <c r="Q35" s="6"/>
      <c r="R35" s="6"/>
      <c r="S35" s="6"/>
      <c r="T35" s="6"/>
    </row>
    <row r="36" spans="2:20" s="296" customFormat="1" ht="15" customHeight="1" x14ac:dyDescent="0.2">
      <c r="B36" s="366" t="s">
        <v>137</v>
      </c>
      <c r="D36" s="265"/>
      <c r="E36" s="365"/>
      <c r="F36" s="212"/>
      <c r="G36" s="334">
        <f>IF($E$6=rd,IF($E$8&gt;=600,'Engine emission factors'!$C18,'Engine emission factors'!$B18),IF($E$6=rg,'Engine emission factors'!$E18,IF($E$6=tng,'Engine emission factors'!$D18,IF($E$6=ngr,'Engine emission factors'!$F18,IF($E$6=ngl,'Engine emission factors'!$G18,IF($E$6=ng2l,'Engine emission factors'!$H18,IF($E$6=pro,'Engine emission factors'!$I18,IF($E$6=select,'Engine emission factors'!$Q18))))))))</f>
        <v>0</v>
      </c>
      <c r="H36" s="356">
        <f t="shared" si="2"/>
        <v>0</v>
      </c>
      <c r="I36" s="357">
        <f t="shared" ref="I36:I59" si="3">($E$19*$G36)/2000</f>
        <v>0</v>
      </c>
      <c r="K36" s="6"/>
      <c r="L36" s="6"/>
      <c r="M36" s="6"/>
      <c r="N36" s="6"/>
      <c r="O36" s="6"/>
      <c r="P36" s="6"/>
      <c r="Q36" s="6"/>
      <c r="R36" s="6"/>
      <c r="S36" s="6"/>
      <c r="T36" s="6"/>
    </row>
    <row r="37" spans="2:20" s="296" customFormat="1" ht="15" customHeight="1" x14ac:dyDescent="0.2">
      <c r="B37" s="366" t="s">
        <v>138</v>
      </c>
      <c r="D37" s="265"/>
      <c r="E37" s="365"/>
      <c r="F37" s="212"/>
      <c r="G37" s="334">
        <f>IF($E$6=rd,IF($E$8&gt;=600,'Engine emission factors'!$C19,'Engine emission factors'!$B19),IF($E$6=rg,'Engine emission factors'!$E19,IF($E$6=tng,'Engine emission factors'!$D19,IF($E$6=ngr,'Engine emission factors'!$F19,IF($E$6=ngl,'Engine emission factors'!$G19,IF($E$6=ng2l,'Engine emission factors'!$H19,IF($E$6=pro,'Engine emission factors'!$I19,IF($E$6=select,'Engine emission factors'!$Q19))))))))</f>
        <v>0</v>
      </c>
      <c r="H37" s="356">
        <f t="shared" si="2"/>
        <v>0</v>
      </c>
      <c r="I37" s="357">
        <f t="shared" si="3"/>
        <v>0</v>
      </c>
      <c r="K37" s="6"/>
      <c r="L37" s="6"/>
      <c r="M37" s="6"/>
      <c r="N37" s="6"/>
      <c r="O37" s="6"/>
      <c r="P37" s="6"/>
      <c r="Q37" s="6"/>
      <c r="R37" s="6"/>
      <c r="S37" s="6"/>
      <c r="T37" s="6"/>
    </row>
    <row r="38" spans="2:20" s="296" customFormat="1" ht="15" customHeight="1" x14ac:dyDescent="0.2">
      <c r="B38" s="366" t="s">
        <v>139</v>
      </c>
      <c r="D38" s="265"/>
      <c r="E38" s="365"/>
      <c r="F38" s="212"/>
      <c r="G38" s="334">
        <f>IF($E$6=rd,IF($E$8&gt;=600,'Engine emission factors'!$C20,'Engine emission factors'!$B20),IF($E$6=rg,'Engine emission factors'!$E20,IF($E$6=tng,'Engine emission factors'!$D20,IF($E$6=ngr,'Engine emission factors'!$F20,IF($E$6=ngl,'Engine emission factors'!$G20,IF($E$6=ng2l,'Engine emission factors'!$H20,IF($E$6=pro,'Engine emission factors'!$I20,IF($E$6=select,'Engine emission factors'!$AA20))))))))</f>
        <v>0</v>
      </c>
      <c r="H38" s="356">
        <f t="shared" si="2"/>
        <v>0</v>
      </c>
      <c r="I38" s="357">
        <f t="shared" si="3"/>
        <v>0</v>
      </c>
      <c r="K38" s="6"/>
      <c r="L38" s="6"/>
      <c r="M38" s="6"/>
      <c r="N38" s="6"/>
      <c r="O38" s="6"/>
      <c r="P38" s="6"/>
      <c r="Q38" s="6"/>
      <c r="R38" s="6"/>
      <c r="S38" s="6"/>
      <c r="T38" s="6"/>
    </row>
    <row r="39" spans="2:20" s="296" customFormat="1" ht="15" customHeight="1" x14ac:dyDescent="0.2">
      <c r="B39" s="367" t="s">
        <v>140</v>
      </c>
      <c r="D39" s="265"/>
      <c r="E39" s="365"/>
      <c r="F39" s="212"/>
      <c r="G39" s="334">
        <f>IF($E$6=rd,IF($E$8&gt;=600,'Engine emission factors'!$C21,'Engine emission factors'!$B21),IF($E$6=rg,'Engine emission factors'!$E21,IF($E$6=tng,'Engine emission factors'!$D21,IF($E$6=ngr,'Engine emission factors'!$F21,IF($E$6=ngl,'Engine emission factors'!$G21,IF($E$6=ng2l,'Engine emission factors'!$H21,IF($E$6=pro,'Engine emission factors'!$I21,IF($E$6=select,'Engine emission factors'!$AA21))))))))</f>
        <v>0</v>
      </c>
      <c r="H39" s="356">
        <f t="shared" si="2"/>
        <v>0</v>
      </c>
      <c r="I39" s="357">
        <f t="shared" si="3"/>
        <v>0</v>
      </c>
      <c r="K39" s="6"/>
      <c r="L39" s="6"/>
      <c r="M39" s="6"/>
      <c r="N39" s="6"/>
      <c r="O39" s="6"/>
      <c r="P39" s="6"/>
      <c r="Q39" s="6"/>
      <c r="R39" s="6"/>
      <c r="S39" s="6"/>
      <c r="T39" s="6"/>
    </row>
    <row r="40" spans="2:20" s="296" customFormat="1" ht="15" customHeight="1" x14ac:dyDescent="0.2">
      <c r="B40" s="367" t="s">
        <v>141</v>
      </c>
      <c r="D40" s="265"/>
      <c r="E40" s="365"/>
      <c r="F40" s="212"/>
      <c r="G40" s="334">
        <f>IF($E$6=rd,IF($E$8&gt;=600,'Engine emission factors'!$C22,'Engine emission factors'!$B22),IF($E$6=rg,'Engine emission factors'!$E22,IF($E$6=tng,'Engine emission factors'!$D22,IF($E$6=ngr,'Engine emission factors'!$F22,IF($E$6=ngl,'Engine emission factors'!$G22,IF($E$6=ng2l,'Engine emission factors'!$H22,IF($E$6=pro,'Engine emission factors'!$I22,IF($E$6=select,'Engine emission factors'!$AA22))))))))</f>
        <v>0</v>
      </c>
      <c r="H40" s="356">
        <f t="shared" si="2"/>
        <v>0</v>
      </c>
      <c r="I40" s="357">
        <f t="shared" si="3"/>
        <v>0</v>
      </c>
      <c r="K40" s="6"/>
      <c r="L40" s="6"/>
      <c r="M40" s="6"/>
      <c r="N40" s="6"/>
      <c r="O40" s="6"/>
      <c r="P40" s="6"/>
      <c r="Q40" s="6"/>
      <c r="R40" s="6"/>
      <c r="S40" s="6"/>
      <c r="T40" s="6"/>
    </row>
    <row r="41" spans="2:20" s="296" customFormat="1" ht="15" customHeight="1" x14ac:dyDescent="0.2">
      <c r="B41" s="367" t="s">
        <v>52</v>
      </c>
      <c r="D41" s="265"/>
      <c r="E41" s="365"/>
      <c r="F41" s="212"/>
      <c r="G41" s="334">
        <f>IF($E$6=rd,IF($E$8&gt;=600,'Engine emission factors'!$C23,'Engine emission factors'!$B23),IF($E$6=rg,'Engine emission factors'!$E23,IF($E$6=tng,'Engine emission factors'!$D23,IF($E$6=ngr,'Engine emission factors'!$F23,IF($E$6=ngl,'Engine emission factors'!$G23,IF($E$6=ng2l,'Engine emission factors'!$H23,IF($E$6=pro,'Engine emission factors'!$I23,IF($E$6=select,'Engine emission factors'!$AA23))))))))</f>
        <v>0</v>
      </c>
      <c r="H41" s="356">
        <f t="shared" si="2"/>
        <v>0</v>
      </c>
      <c r="I41" s="357">
        <f t="shared" si="3"/>
        <v>0</v>
      </c>
      <c r="K41" s="6"/>
      <c r="L41" s="6"/>
      <c r="M41" s="6"/>
      <c r="N41" s="6"/>
      <c r="O41" s="6"/>
      <c r="P41" s="6"/>
      <c r="Q41" s="6"/>
      <c r="R41" s="6"/>
      <c r="S41" s="6"/>
      <c r="T41" s="6"/>
    </row>
    <row r="42" spans="2:20" s="296" customFormat="1" ht="15" customHeight="1" x14ac:dyDescent="0.2">
      <c r="B42" s="366" t="s">
        <v>142</v>
      </c>
      <c r="D42" s="265"/>
      <c r="E42" s="365"/>
      <c r="F42" s="212"/>
      <c r="G42" s="334">
        <f>IF($E$6=rd,IF($E$8&gt;=600,'Engine emission factors'!$C24,'Engine emission factors'!$B24),IF($E$6=rg,'Engine emission factors'!$E24,IF($E$6=tng,'Engine emission factors'!$D24,IF($E$6=ngr,'Engine emission factors'!$F24,IF($E$6=ngl,'Engine emission factors'!$G24,IF($E$6=ng2l,'Engine emission factors'!$H24,IF($E$6=pro,'Engine emission factors'!$I24,IF($E$6=select,'Engine emission factors'!$AA24))))))))</f>
        <v>0</v>
      </c>
      <c r="H42" s="356">
        <f t="shared" si="2"/>
        <v>0</v>
      </c>
      <c r="I42" s="357">
        <f t="shared" si="3"/>
        <v>0</v>
      </c>
      <c r="K42" s="6"/>
      <c r="L42" s="6"/>
      <c r="M42" s="6"/>
      <c r="N42" s="6"/>
      <c r="O42" s="6"/>
      <c r="P42" s="6"/>
      <c r="Q42" s="6"/>
      <c r="R42" s="6"/>
      <c r="S42" s="6"/>
      <c r="T42" s="6"/>
    </row>
    <row r="43" spans="2:20" s="296" customFormat="1" ht="15" customHeight="1" x14ac:dyDescent="0.2">
      <c r="B43" s="366" t="s">
        <v>143</v>
      </c>
      <c r="D43" s="265"/>
      <c r="E43" s="365"/>
      <c r="F43" s="212"/>
      <c r="G43" s="334">
        <f>IF($E$6=rd,IF($E$8&gt;=600,'Engine emission factors'!$C25,'Engine emission factors'!$B25),IF($E$6=rg,'Engine emission factors'!$E25,IF($E$6=tng,'Engine emission factors'!$D25,IF($E$6=ngr,'Engine emission factors'!$F25,IF($E$6=ngl,'Engine emission factors'!$G25,IF($E$6=ng2l,'Engine emission factors'!$H25,IF($E$6=pro,'Engine emission factors'!$I25,IF($E$6=select,'Engine emission factors'!$AA25))))))))</f>
        <v>0</v>
      </c>
      <c r="H43" s="356">
        <f t="shared" si="2"/>
        <v>0</v>
      </c>
      <c r="I43" s="357">
        <f t="shared" si="3"/>
        <v>0</v>
      </c>
      <c r="K43" s="6"/>
      <c r="L43" s="6"/>
      <c r="M43" s="6"/>
      <c r="N43" s="6"/>
      <c r="O43" s="6"/>
      <c r="P43" s="6"/>
      <c r="Q43" s="6"/>
      <c r="R43" s="6"/>
      <c r="S43" s="6"/>
      <c r="T43" s="6"/>
    </row>
    <row r="44" spans="2:20" s="296" customFormat="1" ht="15" customHeight="1" x14ac:dyDescent="0.2">
      <c r="B44" s="366" t="s">
        <v>144</v>
      </c>
      <c r="D44" s="265"/>
      <c r="E44" s="365"/>
      <c r="F44" s="212"/>
      <c r="G44" s="334">
        <f>IF($E$6=rd,IF($E$8&gt;=600,'Engine emission factors'!$C26,'Engine emission factors'!$B26),IF($E$6=rg,'Engine emission factors'!$E26,IF($E$6=tng,'Engine emission factors'!$D26,IF($E$6=ngr,'Engine emission factors'!$F26,IF($E$6=ngl,'Engine emission factors'!$G26,IF($E$6=ng2l,'Engine emission factors'!$H26,IF($E$6=pro,'Engine emission factors'!$I26,IF($E$6=select,'Engine emission factors'!$AA26))))))))</f>
        <v>0</v>
      </c>
      <c r="H44" s="356">
        <f t="shared" si="2"/>
        <v>0</v>
      </c>
      <c r="I44" s="357">
        <f t="shared" si="3"/>
        <v>0</v>
      </c>
      <c r="K44" s="6"/>
      <c r="L44" s="6"/>
      <c r="M44" s="6"/>
      <c r="N44" s="6"/>
      <c r="O44" s="6"/>
      <c r="P44" s="6"/>
      <c r="Q44" s="6"/>
      <c r="R44" s="6"/>
      <c r="S44" s="6"/>
      <c r="T44" s="6"/>
    </row>
    <row r="45" spans="2:20" s="296" customFormat="1" ht="15" customHeight="1" x14ac:dyDescent="0.2">
      <c r="B45" s="366" t="s">
        <v>145</v>
      </c>
      <c r="D45" s="265"/>
      <c r="E45" s="365"/>
      <c r="F45" s="212"/>
      <c r="G45" s="334">
        <f>IF($E$6=rd,IF($E$8&gt;=600,'Engine emission factors'!$C27,'Engine emission factors'!$B27),IF($E$6=rg,'Engine emission factors'!$E27,IF($E$6=tng,'Engine emission factors'!$D27,IF($E$6=ngr,'Engine emission factors'!$F27,IF($E$6=ngl,'Engine emission factors'!$G27,IF($E$6=ng2l,'Engine emission factors'!$H27,IF($E$6=pro,'Engine emission factors'!$I27,IF($E$6=select,'Engine emission factors'!$AA27))))))))</f>
        <v>0</v>
      </c>
      <c r="H45" s="356">
        <f t="shared" si="2"/>
        <v>0</v>
      </c>
      <c r="I45" s="357">
        <f t="shared" si="3"/>
        <v>0</v>
      </c>
      <c r="K45" s="6"/>
      <c r="L45" s="6"/>
      <c r="M45" s="6"/>
      <c r="N45" s="6"/>
      <c r="O45" s="6"/>
      <c r="P45" s="6"/>
      <c r="Q45" s="6"/>
      <c r="R45" s="6"/>
      <c r="S45" s="6"/>
      <c r="T45" s="6"/>
    </row>
    <row r="46" spans="2:20" s="296" customFormat="1" ht="15" customHeight="1" x14ac:dyDescent="0.2">
      <c r="B46" s="367" t="s">
        <v>146</v>
      </c>
      <c r="D46" s="265"/>
      <c r="E46" s="365"/>
      <c r="F46" s="212"/>
      <c r="G46" s="334">
        <f>IF($E$6=rd,IF($E$8&gt;=600,'Engine emission factors'!$C28,'Engine emission factors'!$B28),IF($E$6=rg,'Engine emission factors'!$E28,IF($E$6=tng,'Engine emission factors'!$D28,IF($E$6=ngr,'Engine emission factors'!$F28,IF($E$6=ngl,'Engine emission factors'!$G28,IF($E$6=ng2l,'Engine emission factors'!$H28,IF($E$6=pro,'Engine emission factors'!$I28,IF($E$6=select,'Engine emission factors'!$AA28))))))))</f>
        <v>0</v>
      </c>
      <c r="H46" s="356">
        <f t="shared" si="2"/>
        <v>0</v>
      </c>
      <c r="I46" s="357">
        <f t="shared" si="3"/>
        <v>0</v>
      </c>
      <c r="K46" s="6"/>
      <c r="L46" s="6"/>
      <c r="M46" s="6"/>
      <c r="N46" s="6"/>
      <c r="O46" s="6"/>
      <c r="P46" s="6"/>
      <c r="Q46" s="6"/>
      <c r="R46" s="6"/>
      <c r="S46" s="6"/>
      <c r="T46" s="6"/>
    </row>
    <row r="47" spans="2:20" s="296" customFormat="1" ht="15" customHeight="1" x14ac:dyDescent="0.2">
      <c r="B47" s="366" t="s">
        <v>147</v>
      </c>
      <c r="D47" s="265"/>
      <c r="E47" s="365"/>
      <c r="F47" s="212"/>
      <c r="G47" s="334">
        <f>IF($E$6=rd,IF($E$8&gt;=600,'Engine emission factors'!$C29,'Engine emission factors'!$B29),IF($E$6=rg,'Engine emission factors'!$E29,IF($E$6=tng,'Engine emission factors'!$D29,IF($E$6=ngr,'Engine emission factors'!$F29,IF($E$6=ngl,'Engine emission factors'!$G29,IF($E$6=ng2l,'Engine emission factors'!$H29,IF($E$6=pro,'Engine emission factors'!$I29,IF($E$6=select,'Engine emission factors'!$AA29))))))))</f>
        <v>0</v>
      </c>
      <c r="H47" s="356">
        <f t="shared" si="2"/>
        <v>0</v>
      </c>
      <c r="I47" s="357">
        <f t="shared" si="3"/>
        <v>0</v>
      </c>
      <c r="K47" s="6"/>
      <c r="L47" s="6"/>
      <c r="M47" s="6"/>
      <c r="N47" s="6"/>
      <c r="O47" s="6"/>
      <c r="P47" s="6"/>
      <c r="Q47" s="6"/>
      <c r="R47" s="6"/>
      <c r="S47" s="6"/>
      <c r="T47" s="6"/>
    </row>
    <row r="48" spans="2:20" s="296" customFormat="1" ht="15" customHeight="1" x14ac:dyDescent="0.2">
      <c r="B48" s="367" t="s">
        <v>53</v>
      </c>
      <c r="D48" s="265"/>
      <c r="E48" s="365"/>
      <c r="F48" s="212"/>
      <c r="G48" s="334">
        <f>IF($E$6=rd,IF($E$8&gt;=600,'Engine emission factors'!$C30,'Engine emission factors'!$B30),IF($E$6=rg,'Engine emission factors'!$E30,IF($E$6=tng,'Engine emission factors'!$D30,IF($E$6=ngr,'Engine emission factors'!$F30,IF($E$6=ngl,'Engine emission factors'!$G30,IF($E$6=ng2l,'Engine emission factors'!$H30,IF($E$6=pro,'Engine emission factors'!$I30,IF($E$6=select,'Engine emission factors'!$AA30))))))))</f>
        <v>0</v>
      </c>
      <c r="H48" s="356">
        <f t="shared" si="2"/>
        <v>0</v>
      </c>
      <c r="I48" s="357">
        <f t="shared" si="3"/>
        <v>0</v>
      </c>
      <c r="K48" s="6"/>
      <c r="L48" s="6"/>
      <c r="M48" s="6"/>
      <c r="N48" s="6"/>
      <c r="O48" s="6"/>
      <c r="P48" s="6"/>
      <c r="Q48" s="6"/>
      <c r="R48" s="6"/>
      <c r="S48" s="6"/>
      <c r="T48" s="6"/>
    </row>
    <row r="49" spans="2:20" s="296" customFormat="1" ht="15" customHeight="1" x14ac:dyDescent="0.2">
      <c r="B49" s="367" t="s">
        <v>54</v>
      </c>
      <c r="D49" s="265"/>
      <c r="E49" s="365"/>
      <c r="F49" s="212"/>
      <c r="G49" s="334">
        <f>IF($E$6=rd,IF($E$8&gt;=600,'Engine emission factors'!$C31,'Engine emission factors'!$B31),IF($E$6=rg,'Engine emission factors'!$E31,IF($E$6=tng,'Engine emission factors'!$D31,IF($E$6=ngr,'Engine emission factors'!$F31,IF($E$6=ngl,'Engine emission factors'!$G31,IF($E$6=ng2l,'Engine emission factors'!$H31,IF($E$6=pro,'Engine emission factors'!$I31,IF($E$6=select,'Engine emission factors'!$AA31))))))))</f>
        <v>0</v>
      </c>
      <c r="H49" s="356">
        <f t="shared" si="2"/>
        <v>0</v>
      </c>
      <c r="I49" s="357">
        <f t="shared" si="3"/>
        <v>0</v>
      </c>
      <c r="K49" s="6"/>
      <c r="L49" s="6"/>
      <c r="M49" s="6"/>
      <c r="N49" s="6"/>
      <c r="O49" s="6"/>
      <c r="P49" s="6"/>
      <c r="Q49" s="6"/>
      <c r="R49" s="6"/>
      <c r="S49" s="6"/>
      <c r="T49" s="6"/>
    </row>
    <row r="50" spans="2:20" s="296" customFormat="1" ht="15" customHeight="1" x14ac:dyDescent="0.2">
      <c r="B50" s="366" t="s">
        <v>148</v>
      </c>
      <c r="D50" s="265"/>
      <c r="E50" s="365"/>
      <c r="F50" s="212"/>
      <c r="G50" s="334">
        <f>IF($E$6=rd,IF($E$8&gt;=600,'Engine emission factors'!$C32,'Engine emission factors'!$B32),IF($E$6=rg,'Engine emission factors'!$E32,IF($E$6=tng,'Engine emission factors'!$D32,IF($E$6=ngr,'Engine emission factors'!$F32,IF($E$6=ngl,'Engine emission factors'!$G32,IF($E$6=ng2l,'Engine emission factors'!$H32,IF($E$6=pro,'Engine emission factors'!$I32,IF($E$6=select,'Engine emission factors'!$AA32))))))))</f>
        <v>0</v>
      </c>
      <c r="H50" s="356">
        <f t="shared" si="2"/>
        <v>0</v>
      </c>
      <c r="I50" s="357">
        <f t="shared" si="3"/>
        <v>0</v>
      </c>
      <c r="K50" s="6"/>
      <c r="L50" s="6"/>
      <c r="M50" s="6"/>
      <c r="N50" s="6"/>
      <c r="O50" s="6"/>
      <c r="P50" s="6"/>
      <c r="Q50" s="6"/>
      <c r="R50" s="6"/>
      <c r="S50" s="6"/>
      <c r="T50" s="6"/>
    </row>
    <row r="51" spans="2:20" s="296" customFormat="1" ht="15" customHeight="1" x14ac:dyDescent="0.2">
      <c r="B51" s="366" t="s">
        <v>149</v>
      </c>
      <c r="D51" s="265"/>
      <c r="E51" s="365"/>
      <c r="F51" s="212"/>
      <c r="G51" s="334">
        <f>IF($E$6=rd,IF($E$8&gt;=600,'Engine emission factors'!$C33,'Engine emission factors'!$B33),IF($E$6=rg,'Engine emission factors'!$E33,IF($E$6=tng,'Engine emission factors'!$D33,IF($E$6=ngr,'Engine emission factors'!$F33,IF($E$6=ngl,'Engine emission factors'!$G33,IF($E$6=ng2l,'Engine emission factors'!$H33,IF($E$6=pro,'Engine emission factors'!$I33,IF($E$6=select,'Engine emission factors'!$AA33))))))))</f>
        <v>0</v>
      </c>
      <c r="H51" s="356">
        <f t="shared" si="2"/>
        <v>0</v>
      </c>
      <c r="I51" s="357">
        <f t="shared" si="3"/>
        <v>0</v>
      </c>
      <c r="K51" s="6"/>
      <c r="L51" s="6"/>
      <c r="M51" s="6"/>
      <c r="N51" s="6"/>
      <c r="O51" s="6"/>
      <c r="P51" s="6"/>
      <c r="Q51" s="6"/>
      <c r="R51" s="6"/>
      <c r="S51" s="6"/>
      <c r="T51" s="6"/>
    </row>
    <row r="52" spans="2:20" s="296" customFormat="1" ht="15" customHeight="1" x14ac:dyDescent="0.2">
      <c r="B52" s="367" t="s">
        <v>55</v>
      </c>
      <c r="D52" s="265"/>
      <c r="E52" s="365"/>
      <c r="F52" s="212"/>
      <c r="G52" s="334">
        <f>IF($E$6=rd,IF($E$8&gt;=600,'Engine emission factors'!$C34,'Engine emission factors'!$B34),IF($E$6=rg,'Engine emission factors'!$E34,IF($E$6=tng,'Engine emission factors'!$D34,IF($E$6=ngr,'Engine emission factors'!$F34,IF($E$6=ngl,'Engine emission factors'!$G34,IF($E$6=ng2l,'Engine emission factors'!$H34,IF($E$6=pro,'Engine emission factors'!$I34,IF($E$6=select,'Engine emission factors'!$AA34))))))))</f>
        <v>0</v>
      </c>
      <c r="H52" s="356">
        <f t="shared" si="2"/>
        <v>0</v>
      </c>
      <c r="I52" s="357">
        <f t="shared" si="3"/>
        <v>0</v>
      </c>
      <c r="K52" s="6"/>
      <c r="L52" s="6"/>
      <c r="M52" s="6"/>
      <c r="N52" s="6"/>
      <c r="O52" s="6"/>
      <c r="P52" s="6"/>
      <c r="Q52" s="6"/>
      <c r="R52" s="6"/>
      <c r="S52" s="6"/>
      <c r="T52" s="6"/>
    </row>
    <row r="53" spans="2:20" s="296" customFormat="1" ht="15" customHeight="1" x14ac:dyDescent="0.2">
      <c r="B53" s="366" t="s">
        <v>150</v>
      </c>
      <c r="G53" s="334">
        <f>IF($E$6=rd,IF($E$8&gt;=600,'Engine emission factors'!$C35,'Engine emission factors'!$B35),IF($E$6=rg,'Engine emission factors'!$E35,IF($E$6=tng,'Engine emission factors'!$D35,IF($E$6=ngr,'Engine emission factors'!$F35,IF($E$6=ngl,'Engine emission factors'!$G35,IF($E$6=ng2l,'Engine emission factors'!$H35,IF($E$6=pro,'Engine emission factors'!$I35,IF($E$6=select,'Engine emission factors'!$AA35))))))))</f>
        <v>0</v>
      </c>
      <c r="H53" s="356">
        <f t="shared" si="2"/>
        <v>0</v>
      </c>
      <c r="I53" s="357">
        <f t="shared" si="3"/>
        <v>0</v>
      </c>
      <c r="K53" s="6"/>
      <c r="L53" s="6"/>
      <c r="M53" s="6"/>
      <c r="N53" s="6"/>
      <c r="O53" s="6"/>
      <c r="P53" s="6"/>
      <c r="Q53" s="6"/>
      <c r="R53" s="6"/>
      <c r="S53" s="6"/>
      <c r="T53" s="6"/>
    </row>
    <row r="54" spans="2:20" s="296" customFormat="1" ht="15" customHeight="1" x14ac:dyDescent="0.2">
      <c r="B54" s="366" t="s">
        <v>151</v>
      </c>
      <c r="G54" s="334">
        <f>IF($E$6=rd,IF($E$8&gt;=600,'Engine emission factors'!$C36,'Engine emission factors'!$B36),IF($E$6=rg,'Engine emission factors'!$E36,IF($E$6=tng,'Engine emission factors'!$D36,IF($E$6=ngr,'Engine emission factors'!$F36,IF($E$6=ngl,'Engine emission factors'!$G36,IF($E$6=ng2l,'Engine emission factors'!$H36,IF($E$6=pro,'Engine emission factors'!$I36,IF($E$6=select,'Engine emission factors'!$AA36))))))))</f>
        <v>0</v>
      </c>
      <c r="H54" s="356">
        <f t="shared" si="2"/>
        <v>0</v>
      </c>
      <c r="I54" s="357">
        <f t="shared" si="3"/>
        <v>0</v>
      </c>
      <c r="K54" s="6"/>
      <c r="L54" s="6"/>
      <c r="M54" s="6"/>
      <c r="N54" s="6"/>
      <c r="O54" s="6"/>
      <c r="P54" s="6"/>
      <c r="Q54" s="6"/>
      <c r="R54" s="6"/>
      <c r="S54" s="6"/>
      <c r="T54" s="6"/>
    </row>
    <row r="55" spans="2:20" s="296" customFormat="1" ht="15" customHeight="1" x14ac:dyDescent="0.2">
      <c r="B55" s="366" t="s">
        <v>152</v>
      </c>
      <c r="G55" s="334">
        <f>IF($E$6=rd,IF($E$8&gt;=600,'Engine emission factors'!$C37,'Engine emission factors'!$B37),IF($E$6=rg,'Engine emission factors'!$E37,IF($E$6=tng,'Engine emission factors'!$D37,IF($E$6=ngr,'Engine emission factors'!$F37,IF($E$6=ngl,'Engine emission factors'!$G37,IF($E$6=ng2l,'Engine emission factors'!$H37,IF($E$6=pro,'Engine emission factors'!$I37,IF($E$6=select,'Engine emission factors'!$AA37))))))))</f>
        <v>0</v>
      </c>
      <c r="H55" s="356">
        <f t="shared" si="2"/>
        <v>0</v>
      </c>
      <c r="I55" s="357">
        <f t="shared" si="3"/>
        <v>0</v>
      </c>
      <c r="K55" s="6"/>
      <c r="L55" s="6"/>
      <c r="M55" s="6"/>
      <c r="N55" s="6"/>
      <c r="O55" s="6"/>
      <c r="P55" s="6"/>
      <c r="Q55" s="6"/>
      <c r="R55" s="6"/>
      <c r="S55" s="6"/>
      <c r="T55" s="6"/>
    </row>
    <row r="56" spans="2:20" s="296" customFormat="1" ht="15" customHeight="1" x14ac:dyDescent="0.2">
      <c r="B56" s="366" t="s">
        <v>153</v>
      </c>
      <c r="G56" s="334">
        <f>IF($E$6=rd,IF($E$8&gt;=600,'Engine emission factors'!$C38,'Engine emission factors'!$B38),IF($E$6=rg,'Engine emission factors'!$E38,IF($E$6=tng,'Engine emission factors'!$D38,IF($E$6=ngr,'Engine emission factors'!$F38,IF($E$6=ngl,'Engine emission factors'!$G38,IF($E$6=ng2l,'Engine emission factors'!$H38,IF($E$6=pro,'Engine emission factors'!$I38,IF($E$6=select,'Engine emission factors'!$AA38))))))))</f>
        <v>0</v>
      </c>
      <c r="H56" s="356">
        <f t="shared" si="2"/>
        <v>0</v>
      </c>
      <c r="I56" s="357">
        <f t="shared" si="3"/>
        <v>0</v>
      </c>
      <c r="K56" s="6"/>
      <c r="L56" s="6"/>
      <c r="M56" s="6"/>
      <c r="N56" s="6"/>
      <c r="O56" s="6"/>
      <c r="P56" s="6"/>
      <c r="Q56" s="6"/>
      <c r="R56" s="6"/>
      <c r="S56" s="6"/>
      <c r="T56" s="6"/>
    </row>
    <row r="57" spans="2:20" s="296" customFormat="1" ht="15" customHeight="1" x14ac:dyDescent="0.2">
      <c r="B57" s="367" t="s">
        <v>56</v>
      </c>
      <c r="G57" s="334">
        <f>IF($E$6=rd,IF($E$8&gt;=600,'Engine emission factors'!$C39,'Engine emission factors'!$B39),IF($E$6=rg,'Engine emission factors'!$E39,IF($E$6=tng,'Engine emission factors'!$D39,IF($E$6=ngr,'Engine emission factors'!$F39,IF($E$6=ngl,'Engine emission factors'!$G39,IF($E$6=ng2l,'Engine emission factors'!$H39,IF($E$6=pro,'Engine emission factors'!$I39,IF($E$6=select,'Engine emission factors'!$AA39))))))))</f>
        <v>0</v>
      </c>
      <c r="H57" s="356">
        <f t="shared" si="2"/>
        <v>0</v>
      </c>
      <c r="I57" s="357">
        <f t="shared" si="3"/>
        <v>0</v>
      </c>
      <c r="K57" s="6"/>
      <c r="L57" s="6"/>
      <c r="M57" s="6"/>
      <c r="N57" s="6"/>
      <c r="O57" s="6"/>
      <c r="P57" s="6"/>
      <c r="Q57" s="6"/>
      <c r="R57" s="6"/>
      <c r="S57" s="6"/>
      <c r="T57" s="6"/>
    </row>
    <row r="58" spans="2:20" s="296" customFormat="1" ht="15" customHeight="1" x14ac:dyDescent="0.2">
      <c r="B58" s="366" t="s">
        <v>154</v>
      </c>
      <c r="G58" s="334">
        <f>IF($E$6=rd,IF($E$8&gt;=600,'Engine emission factors'!$C40,'Engine emission factors'!$B40),IF($E$6=rg,'Engine emission factors'!$E40,IF($E$6=tng,'Engine emission factors'!$D40,IF($E$6=ngr,'Engine emission factors'!$F40,IF($E$6=ngl,'Engine emission factors'!$G40,IF($E$6=ng2l,'Engine emission factors'!$H40,IF($E$6=pro,'Engine emission factors'!$I40,IF($E$6=select,'Engine emission factors'!$AA40))))))))</f>
        <v>0</v>
      </c>
      <c r="H58" s="356">
        <f t="shared" si="2"/>
        <v>0</v>
      </c>
      <c r="I58" s="357">
        <f t="shared" si="3"/>
        <v>0</v>
      </c>
      <c r="K58" s="6"/>
      <c r="L58" s="6"/>
      <c r="M58" s="6"/>
      <c r="N58" s="6"/>
      <c r="O58" s="6"/>
      <c r="P58" s="6"/>
      <c r="Q58" s="6"/>
      <c r="R58" s="6"/>
      <c r="S58" s="6"/>
      <c r="T58" s="6"/>
    </row>
    <row r="59" spans="2:20" s="296" customFormat="1" ht="15" customHeight="1" x14ac:dyDescent="0.2">
      <c r="B59" s="367" t="s">
        <v>155</v>
      </c>
      <c r="G59" s="334">
        <f>IF($E$6=rd,IF($E$8&gt;=600,'Engine emission factors'!$C41,'Engine emission factors'!$B41),IF($E$6=rg,'Engine emission factors'!$E41,IF($E$6=tng,'Engine emission factors'!$D41,IF($E$6=ngr,'Engine emission factors'!$F41,IF($E$6=ngl,'Engine emission factors'!$G41,IF($E$6=ng2l,'Engine emission factors'!$H41,IF($E$6=pro,'Engine emission factors'!$I41,IF($E$6=select,'Engine emission factors'!$AA41))))))))</f>
        <v>0</v>
      </c>
      <c r="H59" s="356">
        <f t="shared" si="2"/>
        <v>0</v>
      </c>
      <c r="I59" s="357">
        <f t="shared" si="3"/>
        <v>0</v>
      </c>
      <c r="K59" s="6"/>
      <c r="L59" s="6"/>
      <c r="M59" s="6"/>
      <c r="N59" s="6"/>
      <c r="O59" s="6"/>
      <c r="P59" s="6"/>
      <c r="Q59" s="6"/>
      <c r="R59" s="6"/>
      <c r="S59" s="6"/>
      <c r="T59" s="6"/>
    </row>
    <row r="60" spans="2:20" s="296" customFormat="1" ht="15" customHeight="1" thickBot="1" x14ac:dyDescent="0.25">
      <c r="B60" s="359"/>
      <c r="C60" s="360"/>
      <c r="D60" s="360"/>
      <c r="E60" s="360"/>
      <c r="F60" s="361" t="s">
        <v>57</v>
      </c>
      <c r="G60" s="362"/>
      <c r="H60" s="368">
        <f>SUM(H35:H59)</f>
        <v>0</v>
      </c>
      <c r="I60" s="369">
        <f>SUM(I35:I59)</f>
        <v>0</v>
      </c>
      <c r="K60" s="6"/>
      <c r="L60" s="6"/>
      <c r="M60" s="6"/>
      <c r="N60" s="6"/>
      <c r="O60" s="6"/>
      <c r="P60" s="6"/>
      <c r="Q60" s="6"/>
      <c r="R60" s="6"/>
      <c r="S60" s="6"/>
      <c r="T60" s="6"/>
    </row>
    <row r="61" spans="2:20" s="296" customFormat="1" ht="15" customHeight="1" x14ac:dyDescent="0.2">
      <c r="B61" s="675" t="s">
        <v>409</v>
      </c>
      <c r="C61" s="675"/>
      <c r="D61" s="675"/>
      <c r="E61" s="675"/>
      <c r="F61" s="518"/>
      <c r="G61" s="518"/>
      <c r="H61" s="518"/>
      <c r="I61" s="518"/>
      <c r="K61" s="6"/>
      <c r="L61" s="6"/>
      <c r="M61" s="6"/>
      <c r="N61" s="6"/>
      <c r="O61" s="6"/>
      <c r="P61" s="6"/>
      <c r="Q61" s="6"/>
      <c r="R61" s="6"/>
      <c r="S61" s="6"/>
      <c r="T61" s="6"/>
    </row>
    <row r="62" spans="2:20" s="296" customFormat="1" ht="15" customHeight="1" x14ac:dyDescent="0.25">
      <c r="B62" s="676" t="s">
        <v>410</v>
      </c>
      <c r="C62" s="676"/>
      <c r="D62" s="676"/>
      <c r="E62" s="676"/>
      <c r="K62" s="6"/>
      <c r="L62" s="6"/>
      <c r="M62" s="6"/>
      <c r="N62" s="6"/>
      <c r="O62" s="6"/>
      <c r="P62" s="6"/>
      <c r="Q62" s="6"/>
      <c r="R62" s="6"/>
      <c r="S62" s="6"/>
      <c r="T62" s="6"/>
    </row>
    <row r="63" spans="2:20" s="296" customFormat="1" ht="15" customHeight="1" x14ac:dyDescent="0.2">
      <c r="B63" s="519" t="s">
        <v>653</v>
      </c>
      <c r="C63" s="519"/>
      <c r="D63" s="519"/>
      <c r="E63" s="519"/>
      <c r="K63" s="6"/>
      <c r="L63" s="6"/>
      <c r="M63" s="6"/>
      <c r="N63" s="6"/>
      <c r="O63" s="6"/>
      <c r="P63" s="6"/>
      <c r="Q63" s="6"/>
      <c r="R63" s="6"/>
      <c r="S63" s="6"/>
      <c r="T63" s="6"/>
    </row>
    <row r="64" spans="2:20" s="296" customFormat="1" ht="15" customHeight="1" x14ac:dyDescent="0.25">
      <c r="B64" s="520" t="s">
        <v>654</v>
      </c>
      <c r="C64" s="370"/>
      <c r="D64" s="370"/>
      <c r="E64" s="370"/>
      <c r="F64" s="3"/>
      <c r="G64" s="466" t="s">
        <v>411</v>
      </c>
      <c r="H64" s="466"/>
      <c r="I64" s="3"/>
      <c r="J64" s="3"/>
      <c r="K64" s="6"/>
      <c r="L64" s="6"/>
      <c r="M64" s="6"/>
      <c r="N64" s="6"/>
      <c r="O64" s="6"/>
      <c r="P64" s="6"/>
      <c r="Q64" s="6"/>
      <c r="R64" s="6"/>
      <c r="S64" s="6"/>
      <c r="T64" s="6"/>
    </row>
    <row r="65" spans="2:9" ht="15" customHeight="1" x14ac:dyDescent="0.25">
      <c r="B65" s="370"/>
      <c r="C65" s="370"/>
      <c r="D65" s="370"/>
      <c r="E65" s="370"/>
    </row>
    <row r="66" spans="2:9" x14ac:dyDescent="0.25">
      <c r="D66" s="370"/>
      <c r="E66" s="370"/>
      <c r="F66" s="1"/>
      <c r="G66" s="1"/>
      <c r="H66" s="1"/>
      <c r="I66" s="1"/>
    </row>
    <row r="400" hidden="1" x14ac:dyDescent="0.25"/>
  </sheetData>
  <protectedRanges>
    <protectedRange sqref="B9 N15:Q16 P11:Q14 M20:M23 J8:J13 E8:E11 K9:K14 A5:A6 R9:W14" name="Range2"/>
    <protectedRange sqref="O15:Q397 L29:L393 N15:N31 M19:M31 M33:N397 J12:J394 K7:K8 L21:L27 K13:K395 A13:A395 B12:I60 B67:I394 B61:E63 D64:I66 B64:C65 B6:J7 K5:L6 R5:XFD8 R13:XFD395 A1:XFD4 M5:Q10 M11:O14 B5:I5 A7:A8" name="Range1"/>
  </protectedRanges>
  <mergeCells count="22">
    <mergeCell ref="J16:J17"/>
    <mergeCell ref="J18:J19"/>
    <mergeCell ref="G34:I34"/>
    <mergeCell ref="B61:E61"/>
    <mergeCell ref="B62:E62"/>
    <mergeCell ref="B12:D12"/>
    <mergeCell ref="B13:I13"/>
    <mergeCell ref="B14:I14"/>
    <mergeCell ref="B16:B17"/>
    <mergeCell ref="C16:C17"/>
    <mergeCell ref="D16:D17"/>
    <mergeCell ref="E16:E17"/>
    <mergeCell ref="F16:F17"/>
    <mergeCell ref="G16:G17"/>
    <mergeCell ref="H16:H17"/>
    <mergeCell ref="I16:I17"/>
    <mergeCell ref="B9:D9"/>
    <mergeCell ref="B1:J1"/>
    <mergeCell ref="B2:J2"/>
    <mergeCell ref="B3:I3"/>
    <mergeCell ref="E6:F6"/>
    <mergeCell ref="G6:H6"/>
  </mergeCells>
  <conditionalFormatting sqref="E10:E11">
    <cfRule type="containsBlanks" dxfId="37" priority="2">
      <formula>LEN(TRIM(E10))=0</formula>
    </cfRule>
  </conditionalFormatting>
  <conditionalFormatting sqref="G21:G28 G30:G32 G35:G59">
    <cfRule type="cellIs" dxfId="36" priority="1" operator="equal">
      <formula>0</formula>
    </cfRule>
  </conditionalFormatting>
  <dataValidations count="1">
    <dataValidation allowBlank="1" showErrorMessage="1" sqref="D12:D18 C8:D8 E8:E18 F8:I19 D19:E19 B12:C19 C10:D11" xr:uid="{5CDC7D06-67E2-4B88-A5A3-C85731DF91D3}"/>
  </dataValidations>
  <hyperlinks>
    <hyperlink ref="I29" r:id="rId1" xr:uid="{B0DDFD93-97E3-41B6-809F-974F693F1566}"/>
    <hyperlink ref="G64:H64" r:id="rId2" display="Minn. R. 7007.1300, subp. 3(I)" xr:uid="{244D323C-A14B-4EFB-AC1D-00ABA8D356C5}"/>
  </hyperlinks>
  <pageMargins left="0.25" right="0.25" top="0.5" bottom="0.5" header="0.3" footer="0.3"/>
  <pageSetup scale="65" fitToHeight="0" orientation="portrait" r:id="rId3"/>
  <headerFooter>
    <oddFooter>&amp;L&amp;"Arial,Italic"&amp;8p-sbap5-43&amp;C&amp;"Arial,Italic"&amp;8https://www.pca.state.mn.us  •  Available in alternative formats  •  Use your preferred relay service&amp;R&amp;"Arial,Italic"&amp;8Page &amp;P of &amp;N</oddFooter>
    <firstFooter>&amp;L&amp;10Internal Combustion Engine Calculator - Instructions&amp;R&amp;10&amp;P</firstFooter>
  </headerFooter>
  <rowBreaks count="1" manualBreakCount="1">
    <brk id="34" min="1" max="9" man="1"/>
  </rowBreaks>
  <extLst>
    <ext xmlns:x14="http://schemas.microsoft.com/office/spreadsheetml/2009/9/main" uri="{CCE6A557-97BC-4b89-ADB6-D9C93CAAB3DF}">
      <x14:dataValidations xmlns:xm="http://schemas.microsoft.com/office/excel/2006/main" count="3">
        <x14:dataValidation type="list" allowBlank="1" showInputMessage="1" showErrorMessage="1" xr:uid="{D5CA1A2E-7DCF-40C8-B068-CC7CAF42E308}">
          <x14:formula1>
            <xm:f>'Data validation'!$B$5:$B$7</xm:f>
          </x14:formula1>
          <xm:sqref>B9:D9</xm:sqref>
        </x14:dataValidation>
        <x14:dataValidation type="list" allowBlank="1" showInputMessage="1" showErrorMessage="1" xr:uid="{99B8242C-A52E-4E92-8F4A-2024C2DEE0D7}">
          <x14:formula1>
            <xm:f>'Data validation'!$A$17:$A$19</xm:f>
          </x14:formula1>
          <xm:sqref>E7</xm:sqref>
        </x14:dataValidation>
        <x14:dataValidation type="list" allowBlank="1" showInputMessage="1" showErrorMessage="1" xr:uid="{AD36CADA-6CFC-4289-BFFB-667EA161EB4B}">
          <x14:formula1>
            <xm:f>'Data validation'!$A$6:$A$13</xm:f>
          </x14:formula1>
          <xm:sqref>E6:F6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tabColor rgb="FFD1EAFF"/>
    <pageSetUpPr fitToPage="1"/>
  </sheetPr>
  <dimension ref="A1:U104"/>
  <sheetViews>
    <sheetView showGridLines="0" zoomScaleNormal="100" zoomScaleSheetLayoutView="100" zoomScalePageLayoutView="85" workbookViewId="0">
      <selection activeCell="D27" sqref="D27"/>
    </sheetView>
  </sheetViews>
  <sheetFormatPr defaultColWidth="9.140625" defaultRowHeight="15" x14ac:dyDescent="0.25"/>
  <cols>
    <col min="1" max="1" width="3.28515625" style="112" customWidth="1"/>
    <col min="2" max="2" width="16" style="112" customWidth="1"/>
    <col min="3" max="3" width="16.5703125" style="112" customWidth="1"/>
    <col min="4" max="9" width="16" style="112" customWidth="1"/>
    <col min="10" max="10" width="9.140625" style="112"/>
    <col min="11" max="11" width="41.28515625" style="112" customWidth="1"/>
    <col min="12" max="12" width="21.85546875" style="112" bestFit="1" customWidth="1"/>
    <col min="13" max="13" width="20.5703125" style="112" bestFit="1" customWidth="1"/>
    <col min="14" max="14" width="19.7109375" style="112" bestFit="1" customWidth="1"/>
    <col min="15" max="16384" width="9.140625" style="112"/>
  </cols>
  <sheetData>
    <row r="1" spans="2:9" x14ac:dyDescent="0.25">
      <c r="B1" s="590" t="str">
        <f>Instructions!G2</f>
        <v>p-sbap5-30 • 7/31/25</v>
      </c>
      <c r="C1" s="590"/>
      <c r="D1" s="590"/>
      <c r="E1" s="590"/>
      <c r="F1" s="590"/>
      <c r="G1" s="590"/>
      <c r="H1" s="590"/>
      <c r="I1" s="590"/>
    </row>
    <row r="2" spans="2:9" ht="19.5" thickBot="1" x14ac:dyDescent="0.3">
      <c r="B2" s="591" t="s">
        <v>347</v>
      </c>
      <c r="C2" s="591"/>
      <c r="D2" s="591"/>
      <c r="E2" s="591"/>
      <c r="F2" s="591"/>
      <c r="G2" s="591"/>
      <c r="H2" s="591"/>
      <c r="I2" s="591"/>
    </row>
    <row r="3" spans="2:9" ht="17.25" x14ac:dyDescent="0.25">
      <c r="B3" s="702" t="s">
        <v>330</v>
      </c>
      <c r="C3" s="702"/>
      <c r="D3" s="702"/>
      <c r="E3" s="702"/>
      <c r="F3" s="702"/>
      <c r="G3" s="702"/>
      <c r="H3" s="702"/>
      <c r="I3" s="702"/>
    </row>
    <row r="4" spans="2:9" x14ac:dyDescent="0.25">
      <c r="B4" s="697" t="s">
        <v>292</v>
      </c>
      <c r="C4" s="697"/>
      <c r="D4" s="697"/>
      <c r="E4" s="697"/>
      <c r="F4" s="697"/>
      <c r="G4" s="697"/>
      <c r="H4" s="697"/>
      <c r="I4" s="697"/>
    </row>
    <row r="5" spans="2:9" ht="14.25" customHeight="1" x14ac:dyDescent="0.25">
      <c r="B5" s="677" t="s">
        <v>382</v>
      </c>
      <c r="C5" s="678"/>
      <c r="D5" s="678"/>
      <c r="E5" s="678"/>
      <c r="F5" s="678"/>
      <c r="G5" s="678"/>
      <c r="H5" s="678"/>
      <c r="I5" s="678"/>
    </row>
    <row r="6" spans="2:9" ht="14.25" customHeight="1" x14ac:dyDescent="0.25">
      <c r="B6" s="678"/>
      <c r="C6" s="678"/>
      <c r="D6" s="678"/>
      <c r="E6" s="678"/>
      <c r="F6" s="678"/>
      <c r="G6" s="678"/>
      <c r="H6" s="678"/>
      <c r="I6" s="678"/>
    </row>
    <row r="7" spans="2:9" ht="14.25" customHeight="1" x14ac:dyDescent="0.25">
      <c r="B7" s="677" t="s">
        <v>669</v>
      </c>
      <c r="C7" s="678"/>
      <c r="D7" s="678"/>
      <c r="E7" s="678"/>
      <c r="F7" s="678"/>
      <c r="G7" s="678"/>
      <c r="H7" s="678"/>
      <c r="I7" s="678"/>
    </row>
    <row r="8" spans="2:9" ht="15.75" customHeight="1" x14ac:dyDescent="0.25">
      <c r="B8" s="679" t="s">
        <v>668</v>
      </c>
      <c r="C8" s="679"/>
      <c r="D8" s="679"/>
      <c r="E8" s="679"/>
      <c r="F8" s="679"/>
      <c r="G8" s="679"/>
      <c r="H8" s="679"/>
      <c r="I8" s="679"/>
    </row>
    <row r="9" spans="2:9" x14ac:dyDescent="0.25">
      <c r="B9" s="172"/>
      <c r="C9" s="578"/>
      <c r="D9" s="578"/>
      <c r="E9" s="578"/>
      <c r="F9" s="578"/>
      <c r="G9" s="578"/>
      <c r="H9" s="578"/>
      <c r="I9" s="578"/>
    </row>
    <row r="10" spans="2:9" x14ac:dyDescent="0.25">
      <c r="B10" s="173"/>
      <c r="C10" s="700" t="s">
        <v>270</v>
      </c>
      <c r="D10" s="700"/>
      <c r="E10" s="698" t="s">
        <v>383</v>
      </c>
      <c r="F10" s="698"/>
      <c r="G10" s="698"/>
      <c r="H10" s="698"/>
      <c r="I10" s="698"/>
    </row>
    <row r="11" spans="2:9" x14ac:dyDescent="0.25">
      <c r="B11" s="173"/>
      <c r="C11" s="174">
        <f>SUM(Aggregate!E28:E34)</f>
        <v>0</v>
      </c>
      <c r="D11" s="175" t="s">
        <v>37</v>
      </c>
      <c r="E11" s="698"/>
      <c r="F11" s="698"/>
      <c r="G11" s="698"/>
      <c r="H11" s="698"/>
      <c r="I11" s="698"/>
    </row>
    <row r="12" spans="2:9" x14ac:dyDescent="0.25">
      <c r="B12" s="578"/>
      <c r="C12" s="578"/>
      <c r="D12" s="578"/>
      <c r="E12" s="578"/>
      <c r="F12" s="578"/>
      <c r="G12" s="578"/>
      <c r="H12" s="578"/>
      <c r="I12" s="578"/>
    </row>
    <row r="13" spans="2:9" x14ac:dyDescent="0.25">
      <c r="B13" s="697" t="s">
        <v>348</v>
      </c>
      <c r="C13" s="697"/>
      <c r="D13" s="697"/>
      <c r="E13" s="697"/>
      <c r="F13" s="697"/>
      <c r="G13" s="697"/>
      <c r="H13" s="697"/>
      <c r="I13" s="697"/>
    </row>
    <row r="14" spans="2:9" s="7" customFormat="1" ht="15" customHeight="1" x14ac:dyDescent="0.2">
      <c r="B14" s="712" t="s">
        <v>384</v>
      </c>
      <c r="C14" s="712"/>
      <c r="D14" s="712"/>
      <c r="E14" s="712"/>
      <c r="F14" s="712"/>
      <c r="G14" s="712"/>
      <c r="H14" s="712"/>
      <c r="I14" s="712"/>
    </row>
    <row r="15" spans="2:9" s="7" customFormat="1" ht="15" customHeight="1" x14ac:dyDescent="0.2">
      <c r="B15" s="229" t="s">
        <v>385</v>
      </c>
      <c r="C15" s="713" t="s">
        <v>361</v>
      </c>
      <c r="D15" s="714"/>
      <c r="E15" s="230"/>
      <c r="F15" s="230"/>
      <c r="G15" s="230"/>
      <c r="H15" s="230"/>
      <c r="I15" s="231"/>
    </row>
    <row r="16" spans="2:9" s="7" customFormat="1" ht="15" customHeight="1" x14ac:dyDescent="0.2">
      <c r="B16" s="715" t="s">
        <v>20</v>
      </c>
      <c r="C16" s="717" t="s">
        <v>386</v>
      </c>
      <c r="D16" s="715"/>
      <c r="E16" s="717" t="s">
        <v>387</v>
      </c>
      <c r="F16" s="719"/>
      <c r="G16" s="719"/>
      <c r="H16" s="719"/>
      <c r="I16" s="231"/>
    </row>
    <row r="17" spans="2:13" s="7" customFormat="1" ht="15" customHeight="1" x14ac:dyDescent="0.2">
      <c r="B17" s="716"/>
      <c r="C17" s="718"/>
      <c r="D17" s="716"/>
      <c r="E17" s="720"/>
      <c r="F17" s="721"/>
      <c r="G17" s="721"/>
      <c r="H17" s="721"/>
      <c r="I17" s="232"/>
    </row>
    <row r="18" spans="2:13" s="7" customFormat="1" ht="15" customHeight="1" x14ac:dyDescent="0.2">
      <c r="B18" s="715" t="s">
        <v>21</v>
      </c>
      <c r="C18" s="717" t="s">
        <v>388</v>
      </c>
      <c r="D18" s="715"/>
      <c r="E18" s="720"/>
      <c r="F18" s="721"/>
      <c r="G18" s="721"/>
      <c r="H18" s="721"/>
      <c r="I18" s="232"/>
    </row>
    <row r="19" spans="2:13" s="7" customFormat="1" ht="15" customHeight="1" x14ac:dyDescent="0.2">
      <c r="B19" s="722"/>
      <c r="C19" s="720"/>
      <c r="D19" s="722"/>
      <c r="E19" s="720"/>
      <c r="F19" s="721"/>
      <c r="G19" s="721"/>
      <c r="H19" s="721"/>
      <c r="I19" s="232"/>
    </row>
    <row r="20" spans="2:13" x14ac:dyDescent="0.25">
      <c r="B20" s="701"/>
      <c r="C20" s="701"/>
      <c r="D20" s="701"/>
      <c r="E20" s="701"/>
      <c r="F20" s="701"/>
      <c r="G20" s="701"/>
      <c r="H20" s="701"/>
      <c r="I20" s="701"/>
    </row>
    <row r="21" spans="2:13" x14ac:dyDescent="0.25">
      <c r="B21" s="172"/>
      <c r="C21" s="699" t="s">
        <v>271</v>
      </c>
      <c r="D21" s="699"/>
      <c r="E21" s="698" t="s">
        <v>389</v>
      </c>
      <c r="F21" s="698"/>
      <c r="G21" s="698"/>
      <c r="H21" s="698"/>
      <c r="I21" s="698"/>
    </row>
    <row r="22" spans="2:13" x14ac:dyDescent="0.25">
      <c r="B22" s="172"/>
      <c r="C22" s="174">
        <f>SUM(Aggregate!D46:D52)</f>
        <v>0</v>
      </c>
      <c r="D22" s="175" t="s">
        <v>37</v>
      </c>
      <c r="E22" s="698"/>
      <c r="F22" s="698"/>
      <c r="G22" s="698"/>
      <c r="H22" s="698"/>
      <c r="I22" s="698"/>
    </row>
    <row r="23" spans="2:13" ht="15.75" thickBot="1" x14ac:dyDescent="0.3">
      <c r="B23" s="696"/>
      <c r="C23" s="696"/>
      <c r="D23" s="696"/>
      <c r="E23" s="696"/>
      <c r="F23" s="696"/>
      <c r="G23" s="696"/>
      <c r="H23" s="696"/>
      <c r="I23" s="696"/>
      <c r="J23" s="431"/>
      <c r="K23" s="431"/>
      <c r="L23" s="431"/>
      <c r="M23" s="431"/>
    </row>
    <row r="24" spans="2:13" ht="17.25" x14ac:dyDescent="0.25">
      <c r="B24" s="682" t="s">
        <v>331</v>
      </c>
      <c r="C24" s="682"/>
      <c r="D24" s="682"/>
      <c r="E24" s="682"/>
      <c r="F24" s="682"/>
      <c r="G24" s="682"/>
      <c r="H24" s="682"/>
      <c r="I24" s="682"/>
    </row>
    <row r="25" spans="2:13" x14ac:dyDescent="0.25">
      <c r="B25" s="705" t="s">
        <v>247</v>
      </c>
      <c r="C25" s="705"/>
      <c r="D25" s="705"/>
      <c r="E25" s="705"/>
      <c r="F25" s="705"/>
      <c r="G25" s="705"/>
      <c r="H25" s="705"/>
      <c r="I25" s="705"/>
    </row>
    <row r="26" spans="2:13" s="120" customFormat="1" ht="15.75" x14ac:dyDescent="0.25">
      <c r="B26" s="115"/>
      <c r="C26" s="115"/>
      <c r="D26" s="176" t="s">
        <v>76</v>
      </c>
      <c r="E26" s="176" t="s">
        <v>77</v>
      </c>
      <c r="F26" s="115"/>
      <c r="G26" s="115"/>
      <c r="H26" s="115"/>
      <c r="I26" s="115"/>
      <c r="K26" s="413" t="s">
        <v>489</v>
      </c>
      <c r="L26" s="414"/>
      <c r="M26" s="414"/>
    </row>
    <row r="27" spans="2:13" s="120" customFormat="1" ht="12.75" x14ac:dyDescent="0.2">
      <c r="B27" s="177" t="s">
        <v>240</v>
      </c>
      <c r="C27" s="115"/>
      <c r="D27" s="178">
        <v>0</v>
      </c>
      <c r="E27" s="178">
        <v>0</v>
      </c>
      <c r="F27" s="686" t="s">
        <v>78</v>
      </c>
      <c r="G27" s="686"/>
      <c r="H27" s="686"/>
      <c r="I27" s="179">
        <f>D27*((D28+D29)/2)+E27*((E28+E29)/2)</f>
        <v>0</v>
      </c>
      <c r="K27" s="415" t="s">
        <v>490</v>
      </c>
      <c r="L27" s="6"/>
      <c r="M27" s="6"/>
    </row>
    <row r="28" spans="2:13" s="120" customFormat="1" ht="15.75" x14ac:dyDescent="0.3">
      <c r="B28" s="177" t="s">
        <v>238</v>
      </c>
      <c r="C28" s="115"/>
      <c r="D28" s="180">
        <v>0</v>
      </c>
      <c r="E28" s="180">
        <v>0</v>
      </c>
      <c r="F28" s="686" t="s">
        <v>312</v>
      </c>
      <c r="G28" s="686"/>
      <c r="H28" s="686"/>
      <c r="I28" s="181">
        <f>IFERROR(IF(($C$11/((Fugitive!D27*(Fugitive!D29-Fugitive!D28))+(Fugitive!E27*(Fugitive!E29-Fugitive!E28))))=0,0,IF(($C$11/((Fugitive!D27*(Fugitive!D29-Fugitive!D28))+(Fugitive!E27*(Fugitive!E29-Fugitive!E28))))&gt;0,($C$11/((Fugitive!D27*(Fugitive!D29-Fugitive!D28))+(Fugitive!E27*(Fugitive!E29-Fugitive!E28)))))),0)</f>
        <v>0</v>
      </c>
      <c r="K28" s="416" t="s">
        <v>491</v>
      </c>
      <c r="L28" s="416" t="s">
        <v>492</v>
      </c>
      <c r="M28" s="417" t="s">
        <v>493</v>
      </c>
    </row>
    <row r="29" spans="2:13" s="120" customFormat="1" ht="15.75" x14ac:dyDescent="0.3">
      <c r="B29" s="177" t="s">
        <v>239</v>
      </c>
      <c r="C29" s="115"/>
      <c r="D29" s="180">
        <v>0</v>
      </c>
      <c r="E29" s="180">
        <v>0</v>
      </c>
      <c r="F29" s="686" t="s">
        <v>313</v>
      </c>
      <c r="G29" s="686"/>
      <c r="H29" s="686"/>
      <c r="I29" s="181">
        <f>IFERROR(IF(((C22)/((Fugitive!D27*(Fugitive!D29-Fugitive!D28))+(Fugitive!E27*(Fugitive!E29-Fugitive!E28))))=0,0,IF((C22)/((Fugitive!D27*(Fugitive!D29-Fugitive!D28))+(Fugitive!E27*(Fugitive!E29-Fugitive!E28)))&gt;0,((C22)/((Fugitive!D27*(Fugitive!D29-Fugitive!D28))+(Fugitive!E27*(Fugitive!E29-Fugitive!E28)))))),0)</f>
        <v>0</v>
      </c>
      <c r="K29" s="418" t="s">
        <v>494</v>
      </c>
      <c r="L29" s="419" t="s">
        <v>495</v>
      </c>
      <c r="M29" s="420">
        <v>17</v>
      </c>
    </row>
    <row r="30" spans="2:13" s="120" customFormat="1" ht="12.75" x14ac:dyDescent="0.2">
      <c r="B30" s="706" t="s">
        <v>241</v>
      </c>
      <c r="C30" s="706"/>
      <c r="D30" s="180">
        <v>0</v>
      </c>
      <c r="E30" s="116"/>
      <c r="F30" s="115"/>
      <c r="G30" s="115"/>
      <c r="H30" s="115"/>
      <c r="I30" s="115"/>
      <c r="K30" s="421" t="s">
        <v>496</v>
      </c>
      <c r="L30" s="422" t="s">
        <v>495</v>
      </c>
      <c r="M30" s="423">
        <v>6</v>
      </c>
    </row>
    <row r="31" spans="2:13" s="120" customFormat="1" ht="15.75" x14ac:dyDescent="0.3">
      <c r="B31" s="182" t="s">
        <v>249</v>
      </c>
      <c r="C31" s="182"/>
      <c r="D31" s="180">
        <v>0</v>
      </c>
      <c r="E31" s="575" t="s">
        <v>314</v>
      </c>
      <c r="F31" s="575"/>
      <c r="G31" s="575"/>
      <c r="H31" s="575"/>
      <c r="I31" s="183">
        <f>IF((I28*D31)&gt;0,(I28*D31),0)</f>
        <v>0</v>
      </c>
      <c r="K31" s="315" t="s">
        <v>497</v>
      </c>
      <c r="L31" s="424" t="s">
        <v>495</v>
      </c>
      <c r="M31" s="420">
        <v>4.8</v>
      </c>
    </row>
    <row r="32" spans="2:13" s="120" customFormat="1" ht="15.75" x14ac:dyDescent="0.3">
      <c r="B32" s="680" t="s">
        <v>248</v>
      </c>
      <c r="C32" s="680"/>
      <c r="D32" s="432">
        <v>0.5</v>
      </c>
      <c r="E32" s="6" t="s">
        <v>512</v>
      </c>
      <c r="F32" s="433"/>
      <c r="G32" s="433"/>
      <c r="H32" s="434" t="s">
        <v>315</v>
      </c>
      <c r="I32" s="183">
        <f>IF((I29*D31)&gt;0,(I29*D31),0)</f>
        <v>0</v>
      </c>
      <c r="K32" s="315"/>
      <c r="L32" s="424" t="s">
        <v>498</v>
      </c>
      <c r="M32" s="420">
        <v>7.1</v>
      </c>
    </row>
    <row r="33" spans="2:21" x14ac:dyDescent="0.25">
      <c r="B33" s="680" t="s">
        <v>75</v>
      </c>
      <c r="C33" s="680"/>
      <c r="D33" s="432" t="s">
        <v>511</v>
      </c>
      <c r="E33" s="6" t="s">
        <v>513</v>
      </c>
      <c r="F33" s="166"/>
      <c r="G33" s="166"/>
      <c r="H33" s="166"/>
      <c r="I33" s="115"/>
      <c r="K33" s="425" t="s">
        <v>499</v>
      </c>
      <c r="L33" s="426" t="s">
        <v>495</v>
      </c>
      <c r="M33" s="427">
        <v>10</v>
      </c>
    </row>
    <row r="34" spans="2:21" x14ac:dyDescent="0.25">
      <c r="B34" s="185" t="s">
        <v>79</v>
      </c>
      <c r="C34" s="185"/>
      <c r="D34" s="184">
        <f>(133+121+115+109+108)/5</f>
        <v>117.2</v>
      </c>
      <c r="E34" s="186" t="s">
        <v>316</v>
      </c>
      <c r="F34" s="575" t="s">
        <v>317</v>
      </c>
      <c r="G34" s="575"/>
      <c r="H34" s="575"/>
      <c r="I34" s="575"/>
      <c r="K34" s="428"/>
      <c r="L34" s="429" t="s">
        <v>500</v>
      </c>
      <c r="M34" s="430">
        <v>8.3000000000000007</v>
      </c>
    </row>
    <row r="35" spans="2:21" x14ac:dyDescent="0.25">
      <c r="B35" s="703" t="s">
        <v>74</v>
      </c>
      <c r="C35" s="703"/>
      <c r="D35" s="184">
        <v>6</v>
      </c>
      <c r="E35" s="686" t="s">
        <v>242</v>
      </c>
      <c r="F35" s="686"/>
      <c r="G35" s="686"/>
      <c r="H35" s="686"/>
      <c r="I35" s="187">
        <f>IFERROR((((D35*((D33/12)^1)*((D30/30)^0.3)/((D32/0.5)^0.3))-0.00047)*((365-D34)/365)),0)</f>
        <v>0</v>
      </c>
      <c r="K35" s="315" t="s">
        <v>501</v>
      </c>
      <c r="L35" s="424" t="s">
        <v>495</v>
      </c>
      <c r="M35" s="420">
        <v>4.3</v>
      </c>
    </row>
    <row r="36" spans="2:21" ht="15.75" x14ac:dyDescent="0.3">
      <c r="B36" s="680" t="s">
        <v>318</v>
      </c>
      <c r="C36" s="680"/>
      <c r="D36" s="184">
        <v>1.8</v>
      </c>
      <c r="E36" s="686" t="s">
        <v>319</v>
      </c>
      <c r="F36" s="686"/>
      <c r="G36" s="686"/>
      <c r="H36" s="686"/>
      <c r="I36" s="187">
        <f>IFERROR((((D36*((D33/12)^1)*((D30/30)^0.5)/((D32/0.5)^0.2))-0.00047)*((365-D34)/365)),0)</f>
        <v>0</v>
      </c>
      <c r="K36" s="315"/>
      <c r="L36" s="424" t="s">
        <v>500</v>
      </c>
      <c r="M36" s="420">
        <v>5.8</v>
      </c>
    </row>
    <row r="37" spans="2:21" ht="15.75" x14ac:dyDescent="0.3">
      <c r="B37" s="680" t="s">
        <v>320</v>
      </c>
      <c r="C37" s="680"/>
      <c r="D37" s="184">
        <v>0.18</v>
      </c>
      <c r="E37" s="186"/>
      <c r="F37" s="188"/>
      <c r="G37" s="686" t="s">
        <v>321</v>
      </c>
      <c r="H37" s="686"/>
      <c r="I37" s="187">
        <f>IFERROR((((D37*((D33/12)^1)*((D30/30)^0.5)/((D32/0.5)^0.2))-0.00036)*((365-D34)/365)),0)</f>
        <v>0</v>
      </c>
      <c r="K37" s="425" t="s">
        <v>502</v>
      </c>
      <c r="L37" s="426" t="s">
        <v>495</v>
      </c>
      <c r="M37" s="427">
        <v>5.0999999999999996</v>
      </c>
    </row>
    <row r="38" spans="2:21" x14ac:dyDescent="0.25">
      <c r="B38" s="683"/>
      <c r="C38" s="683"/>
      <c r="D38" s="683"/>
      <c r="E38" s="683"/>
      <c r="F38" s="683"/>
      <c r="G38" s="683"/>
      <c r="H38" s="683"/>
      <c r="I38" s="683"/>
      <c r="K38" s="315"/>
      <c r="L38" s="424" t="s">
        <v>500</v>
      </c>
      <c r="M38" s="420">
        <v>8.4</v>
      </c>
    </row>
    <row r="39" spans="2:21" x14ac:dyDescent="0.25">
      <c r="B39" s="412"/>
      <c r="C39" s="412"/>
      <c r="D39" s="412"/>
      <c r="E39" s="412"/>
      <c r="F39" s="412"/>
      <c r="G39" s="412"/>
      <c r="H39" s="412"/>
      <c r="I39" s="412"/>
      <c r="K39" s="315"/>
      <c r="L39" s="424" t="s">
        <v>503</v>
      </c>
      <c r="M39" s="420">
        <v>17</v>
      </c>
    </row>
    <row r="40" spans="2:21" x14ac:dyDescent="0.25">
      <c r="B40" s="412"/>
      <c r="C40" s="412"/>
      <c r="D40" s="412"/>
      <c r="E40" s="412"/>
      <c r="F40" s="412"/>
      <c r="G40" s="412"/>
      <c r="H40" s="412"/>
      <c r="I40" s="412"/>
      <c r="K40" s="428"/>
      <c r="L40" s="429" t="s">
        <v>504</v>
      </c>
      <c r="M40" s="430">
        <v>24</v>
      </c>
    </row>
    <row r="41" spans="2:21" x14ac:dyDescent="0.25">
      <c r="B41" s="412"/>
      <c r="C41" s="412"/>
      <c r="D41" s="412"/>
      <c r="E41" s="412"/>
      <c r="F41" s="412"/>
      <c r="G41" s="412"/>
      <c r="H41" s="412"/>
      <c r="I41" s="412"/>
      <c r="K41" s="315" t="s">
        <v>505</v>
      </c>
      <c r="L41" s="424" t="s">
        <v>506</v>
      </c>
      <c r="M41" s="420">
        <v>8.5</v>
      </c>
    </row>
    <row r="42" spans="2:21" x14ac:dyDescent="0.25">
      <c r="B42" s="412"/>
      <c r="C42" s="412"/>
      <c r="D42" s="412"/>
      <c r="E42" s="412"/>
      <c r="F42" s="412"/>
      <c r="G42" s="412"/>
      <c r="H42" s="412"/>
      <c r="I42" s="412"/>
      <c r="K42" s="421" t="s">
        <v>507</v>
      </c>
      <c r="L42" s="422" t="s">
        <v>508</v>
      </c>
      <c r="M42" s="423">
        <v>8.4</v>
      </c>
    </row>
    <row r="43" spans="2:21" x14ac:dyDescent="0.25">
      <c r="B43" s="412"/>
      <c r="C43" s="412"/>
      <c r="D43" s="412"/>
      <c r="E43" s="412"/>
      <c r="F43" s="412"/>
      <c r="G43" s="412"/>
      <c r="H43" s="412"/>
      <c r="I43" s="412"/>
      <c r="K43" s="315" t="s">
        <v>509</v>
      </c>
      <c r="L43" s="424" t="s">
        <v>510</v>
      </c>
      <c r="M43" s="420">
        <v>6.4</v>
      </c>
    </row>
    <row r="44" spans="2:21" ht="15.75" thickBot="1" x14ac:dyDescent="0.3">
      <c r="B44" s="453"/>
      <c r="C44" s="453"/>
      <c r="D44" s="453"/>
      <c r="E44" s="453"/>
      <c r="F44" s="453"/>
      <c r="G44" s="453"/>
      <c r="H44" s="453"/>
      <c r="I44" s="453"/>
      <c r="J44" s="431"/>
      <c r="K44" s="454"/>
      <c r="L44" s="454"/>
      <c r="M44" s="455"/>
      <c r="N44" s="431"/>
      <c r="O44" s="431"/>
      <c r="P44" s="431"/>
      <c r="Q44" s="431"/>
      <c r="R44" s="431"/>
      <c r="S44" s="431"/>
      <c r="T44" s="431"/>
      <c r="U44" s="431"/>
    </row>
    <row r="45" spans="2:21" ht="17.25" x14ac:dyDescent="0.25">
      <c r="B45" s="682" t="s">
        <v>333</v>
      </c>
      <c r="C45" s="682"/>
      <c r="D45" s="682"/>
      <c r="E45" s="682"/>
      <c r="F45" s="682"/>
      <c r="G45" s="682"/>
      <c r="H45" s="682"/>
      <c r="I45" s="682"/>
    </row>
    <row r="46" spans="2:21" ht="15.75" x14ac:dyDescent="0.25">
      <c r="B46" s="703" t="s">
        <v>74</v>
      </c>
      <c r="C46" s="704"/>
      <c r="D46" s="184">
        <v>0.74</v>
      </c>
      <c r="E46" s="189"/>
      <c r="F46" s="125"/>
      <c r="G46" s="125"/>
      <c r="H46" s="125"/>
      <c r="I46" s="125"/>
      <c r="K46" s="413" t="s">
        <v>518</v>
      </c>
      <c r="L46" s="414"/>
      <c r="M46" s="414"/>
      <c r="N46" s="414"/>
      <c r="O46" s="6"/>
      <c r="P46" s="413" t="s">
        <v>519</v>
      </c>
      <c r="Q46" s="414"/>
      <c r="R46" s="414"/>
      <c r="S46" s="414"/>
      <c r="T46" s="414"/>
      <c r="U46" s="414"/>
    </row>
    <row r="47" spans="2:21" ht="15.75" x14ac:dyDescent="0.3">
      <c r="B47" s="680" t="s">
        <v>318</v>
      </c>
      <c r="C47" s="681"/>
      <c r="D47" s="184">
        <v>0.35</v>
      </c>
      <c r="E47" s="685" t="s">
        <v>322</v>
      </c>
      <c r="F47" s="686"/>
      <c r="G47" s="686"/>
      <c r="H47" s="686"/>
      <c r="I47" s="686"/>
      <c r="K47" s="415" t="s">
        <v>520</v>
      </c>
      <c r="L47" s="438"/>
      <c r="M47" s="438"/>
      <c r="N47" s="438"/>
      <c r="O47" s="6"/>
      <c r="P47" s="439" t="s">
        <v>521</v>
      </c>
      <c r="Q47" s="440"/>
      <c r="R47" s="440"/>
      <c r="S47" s="440"/>
      <c r="T47" s="724" t="s">
        <v>522</v>
      </c>
      <c r="U47" s="724" t="s">
        <v>523</v>
      </c>
    </row>
    <row r="48" spans="2:21" ht="15.75" x14ac:dyDescent="0.3">
      <c r="B48" s="680" t="s">
        <v>320</v>
      </c>
      <c r="C48" s="681"/>
      <c r="D48" s="184">
        <v>5.2999999999999999E-2</v>
      </c>
      <c r="E48" s="685" t="s">
        <v>243</v>
      </c>
      <c r="F48" s="686"/>
      <c r="G48" s="686"/>
      <c r="H48" s="687"/>
      <c r="I48" s="190">
        <f>IFERROR((D46*0.0032*(((D49/5)^1.3)/((D50/2)^1.4))),0)</f>
        <v>0</v>
      </c>
      <c r="K48" s="416" t="s">
        <v>491</v>
      </c>
      <c r="L48" s="416" t="s">
        <v>524</v>
      </c>
      <c r="M48" s="441" t="s">
        <v>525</v>
      </c>
      <c r="N48" s="441" t="s">
        <v>526</v>
      </c>
      <c r="O48" s="6"/>
      <c r="P48" s="442" t="s">
        <v>527</v>
      </c>
      <c r="Q48" s="442" t="s">
        <v>528</v>
      </c>
      <c r="R48" s="442" t="s">
        <v>529</v>
      </c>
      <c r="S48" s="442" t="s">
        <v>530</v>
      </c>
      <c r="T48" s="725"/>
      <c r="U48" s="725"/>
    </row>
    <row r="49" spans="2:21" ht="15.75" x14ac:dyDescent="0.3">
      <c r="B49" s="680" t="s">
        <v>211</v>
      </c>
      <c r="C49" s="681"/>
      <c r="D49" s="432" t="s">
        <v>511</v>
      </c>
      <c r="E49" s="166" t="s">
        <v>514</v>
      </c>
      <c r="F49" s="433"/>
      <c r="G49" s="433"/>
      <c r="H49" s="437" t="s">
        <v>323</v>
      </c>
      <c r="I49" s="190">
        <f>IFERROR((D47*0.0032*(((D49/5)^1.3)/((D50/2)^1.4))),0)</f>
        <v>0</v>
      </c>
      <c r="K49" s="315" t="s">
        <v>531</v>
      </c>
      <c r="L49" s="419" t="s">
        <v>532</v>
      </c>
      <c r="M49" s="443">
        <v>4.3</v>
      </c>
      <c r="N49" s="443">
        <v>2.2000000000000002</v>
      </c>
      <c r="O49" s="6"/>
      <c r="P49" s="444" t="s">
        <v>533</v>
      </c>
      <c r="Q49" s="445" t="s">
        <v>534</v>
      </c>
      <c r="R49" s="445" t="s">
        <v>535</v>
      </c>
      <c r="S49" s="444" t="s">
        <v>536</v>
      </c>
      <c r="T49" s="446">
        <v>40.9</v>
      </c>
      <c r="U49" s="447">
        <v>11.258818520489619</v>
      </c>
    </row>
    <row r="50" spans="2:21" ht="15.75" x14ac:dyDescent="0.3">
      <c r="B50" s="680" t="s">
        <v>212</v>
      </c>
      <c r="C50" s="681"/>
      <c r="D50" s="432" t="s">
        <v>511</v>
      </c>
      <c r="E50" s="166" t="s">
        <v>517</v>
      </c>
      <c r="F50" s="433"/>
      <c r="G50" s="433"/>
      <c r="H50" s="437" t="s">
        <v>324</v>
      </c>
      <c r="I50" s="190">
        <f>IFERROR((D48*0.0032*(((D49/5)^1.3)/((D50/2)^1.4))),0)</f>
        <v>0</v>
      </c>
      <c r="K50" s="315"/>
      <c r="L50" s="424" t="s">
        <v>537</v>
      </c>
      <c r="M50" s="448">
        <v>9.5</v>
      </c>
      <c r="N50" s="448">
        <v>5.4</v>
      </c>
      <c r="O50" s="6"/>
      <c r="P50" s="444" t="s">
        <v>538</v>
      </c>
      <c r="Q50" s="445" t="s">
        <v>539</v>
      </c>
      <c r="R50" s="445" t="s">
        <v>540</v>
      </c>
      <c r="S50" s="444" t="s">
        <v>536</v>
      </c>
      <c r="T50" s="449">
        <v>39.200000000000003</v>
      </c>
      <c r="U50" s="447">
        <v>11.72421493902438</v>
      </c>
    </row>
    <row r="51" spans="2:21" x14ac:dyDescent="0.25">
      <c r="B51" s="683"/>
      <c r="C51" s="683"/>
      <c r="D51" s="684"/>
      <c r="E51" s="683"/>
      <c r="F51" s="683"/>
      <c r="G51" s="683"/>
      <c r="H51" s="683"/>
      <c r="I51" s="683"/>
      <c r="K51" s="315"/>
      <c r="L51" s="424" t="s">
        <v>541</v>
      </c>
      <c r="M51" s="448">
        <v>4.5999999999999996</v>
      </c>
      <c r="N51" s="448">
        <v>4.8</v>
      </c>
      <c r="O51" s="6"/>
      <c r="P51" s="444" t="s">
        <v>542</v>
      </c>
      <c r="Q51" s="445" t="s">
        <v>543</v>
      </c>
      <c r="R51" s="445" t="s">
        <v>544</v>
      </c>
      <c r="S51" s="444" t="s">
        <v>536</v>
      </c>
      <c r="T51" s="449">
        <v>35.200000000000003</v>
      </c>
      <c r="U51" s="447">
        <v>10.126875334403408</v>
      </c>
    </row>
    <row r="52" spans="2:21" ht="17.25" x14ac:dyDescent="0.25">
      <c r="B52" s="682" t="s">
        <v>334</v>
      </c>
      <c r="C52" s="682"/>
      <c r="D52" s="682"/>
      <c r="E52" s="682"/>
      <c r="F52" s="682"/>
      <c r="G52" s="682"/>
      <c r="H52" s="682"/>
      <c r="I52" s="682"/>
      <c r="K52" s="315"/>
      <c r="L52" s="424" t="s">
        <v>545</v>
      </c>
      <c r="M52" s="448">
        <v>5.3</v>
      </c>
      <c r="N52" s="448">
        <v>0.92</v>
      </c>
      <c r="O52" s="6"/>
      <c r="P52" s="444" t="s">
        <v>546</v>
      </c>
      <c r="Q52" s="445" t="s">
        <v>547</v>
      </c>
      <c r="R52" s="445" t="s">
        <v>548</v>
      </c>
      <c r="S52" s="444" t="s">
        <v>536</v>
      </c>
      <c r="T52" s="449">
        <v>33.5</v>
      </c>
      <c r="U52" s="447">
        <v>9.86407978723404</v>
      </c>
    </row>
    <row r="53" spans="2:21" x14ac:dyDescent="0.25">
      <c r="B53" s="691" t="s">
        <v>484</v>
      </c>
      <c r="C53" s="691"/>
      <c r="D53" s="180">
        <v>0</v>
      </c>
      <c r="E53" s="692"/>
      <c r="F53" s="571"/>
      <c r="G53" s="571"/>
      <c r="H53" s="571"/>
      <c r="I53" s="571"/>
      <c r="K53" s="315"/>
      <c r="L53" s="424" t="s">
        <v>549</v>
      </c>
      <c r="M53" s="448">
        <v>13</v>
      </c>
      <c r="N53" s="448">
        <v>7</v>
      </c>
      <c r="O53" s="6"/>
      <c r="P53" s="444" t="s">
        <v>550</v>
      </c>
      <c r="Q53" s="445" t="s">
        <v>551</v>
      </c>
      <c r="R53" s="445" t="s">
        <v>552</v>
      </c>
      <c r="S53" s="444" t="s">
        <v>536</v>
      </c>
      <c r="T53" s="449">
        <v>31.2</v>
      </c>
      <c r="U53" s="447">
        <v>10.291786292498655</v>
      </c>
    </row>
    <row r="54" spans="2:21" x14ac:dyDescent="0.25">
      <c r="B54" s="691" t="s">
        <v>267</v>
      </c>
      <c r="C54" s="691"/>
      <c r="D54" s="180">
        <v>0</v>
      </c>
      <c r="E54" s="688" t="s">
        <v>482</v>
      </c>
      <c r="F54" s="688"/>
      <c r="G54" s="688"/>
      <c r="H54" s="688"/>
      <c r="I54" s="688"/>
      <c r="K54" s="315"/>
      <c r="L54" s="424" t="s">
        <v>553</v>
      </c>
      <c r="M54" s="448">
        <v>4.9000000000000004</v>
      </c>
      <c r="N54" s="448">
        <v>7.8</v>
      </c>
      <c r="O54" s="6"/>
      <c r="P54" s="444" t="s">
        <v>554</v>
      </c>
      <c r="Q54" s="445" t="s">
        <v>555</v>
      </c>
      <c r="R54" s="445" t="s">
        <v>556</v>
      </c>
      <c r="S54" s="444" t="s">
        <v>536</v>
      </c>
      <c r="T54" s="449">
        <v>31.2</v>
      </c>
      <c r="U54" s="450" t="s">
        <v>557</v>
      </c>
    </row>
    <row r="55" spans="2:21" x14ac:dyDescent="0.25">
      <c r="B55" s="689" t="s">
        <v>266</v>
      </c>
      <c r="C55" s="689"/>
      <c r="D55" s="432" t="s">
        <v>511</v>
      </c>
      <c r="E55" s="166" t="s">
        <v>514</v>
      </c>
      <c r="F55" s="435"/>
      <c r="G55" s="435"/>
      <c r="H55" s="436" t="s">
        <v>269</v>
      </c>
      <c r="I55" s="187">
        <f>IFERROR((1.7*(D55/1.5)*((365-D57)/235)*(D56/15)),0)</f>
        <v>0</v>
      </c>
      <c r="K55" s="315"/>
      <c r="L55" s="424" t="s">
        <v>558</v>
      </c>
      <c r="M55" s="448">
        <v>15</v>
      </c>
      <c r="N55" s="448">
        <v>6.6</v>
      </c>
      <c r="O55" s="6"/>
      <c r="P55" s="444" t="s">
        <v>559</v>
      </c>
      <c r="Q55" s="445" t="s">
        <v>560</v>
      </c>
      <c r="R55" s="445" t="s">
        <v>561</v>
      </c>
      <c r="S55" s="444" t="s">
        <v>536</v>
      </c>
      <c r="T55" s="449">
        <v>30.5</v>
      </c>
      <c r="U55" s="447">
        <v>9.6455301012253578</v>
      </c>
    </row>
    <row r="56" spans="2:21" ht="15.75" x14ac:dyDescent="0.3">
      <c r="B56" s="693" t="s">
        <v>268</v>
      </c>
      <c r="C56" s="693"/>
      <c r="D56" s="432" t="s">
        <v>511</v>
      </c>
      <c r="E56" s="166" t="s">
        <v>515</v>
      </c>
      <c r="F56" s="143"/>
      <c r="G56" s="433"/>
      <c r="H56" s="434" t="s">
        <v>483</v>
      </c>
      <c r="I56" s="187">
        <f>I55*0.5</f>
        <v>0</v>
      </c>
      <c r="K56" s="315"/>
      <c r="L56" s="424" t="s">
        <v>562</v>
      </c>
      <c r="M56" s="448">
        <v>0.7</v>
      </c>
      <c r="N56" s="448" t="s">
        <v>557</v>
      </c>
      <c r="O56" s="6"/>
      <c r="P56" s="444" t="s">
        <v>563</v>
      </c>
      <c r="Q56" s="445" t="s">
        <v>564</v>
      </c>
      <c r="R56" s="445" t="s">
        <v>565</v>
      </c>
      <c r="S56" s="444" t="s">
        <v>536</v>
      </c>
      <c r="T56" s="449">
        <v>28.2</v>
      </c>
      <c r="U56" s="447">
        <v>9.0371755319148921</v>
      </c>
    </row>
    <row r="57" spans="2:21" x14ac:dyDescent="0.25">
      <c r="B57" s="690" t="s">
        <v>79</v>
      </c>
      <c r="C57" s="690"/>
      <c r="D57" s="184">
        <f>(133+121+115+109+108)/5</f>
        <v>117.2</v>
      </c>
      <c r="E57" s="575" t="s">
        <v>516</v>
      </c>
      <c r="F57" s="575"/>
      <c r="G57" s="575"/>
      <c r="H57" s="575"/>
      <c r="I57" s="187">
        <f>I56*0.075</f>
        <v>0</v>
      </c>
      <c r="K57" s="315"/>
      <c r="L57" s="424" t="s">
        <v>566</v>
      </c>
      <c r="M57" s="448">
        <v>1</v>
      </c>
      <c r="N57" s="448">
        <v>0.2</v>
      </c>
      <c r="O57" s="6"/>
      <c r="P57" s="444" t="s">
        <v>567</v>
      </c>
      <c r="Q57" s="445" t="s">
        <v>568</v>
      </c>
      <c r="R57" s="445" t="s">
        <v>569</v>
      </c>
      <c r="S57" s="444" t="s">
        <v>536</v>
      </c>
      <c r="T57" s="449">
        <v>27.2</v>
      </c>
      <c r="U57" s="447">
        <v>8.6740843566470929</v>
      </c>
    </row>
    <row r="58" spans="2:21" ht="15.75" thickBot="1" x14ac:dyDescent="0.3">
      <c r="B58" s="456"/>
      <c r="C58" s="456"/>
      <c r="D58" s="456"/>
      <c r="E58" s="456"/>
      <c r="F58" s="456"/>
      <c r="G58" s="456"/>
      <c r="H58" s="456"/>
      <c r="I58" s="456"/>
      <c r="K58" s="425" t="s">
        <v>499</v>
      </c>
      <c r="L58" s="426" t="s">
        <v>570</v>
      </c>
      <c r="M58" s="451">
        <v>1.6</v>
      </c>
      <c r="N58" s="451">
        <v>0.7</v>
      </c>
      <c r="O58" s="6"/>
      <c r="P58" s="444" t="s">
        <v>571</v>
      </c>
      <c r="Q58" s="445" t="s">
        <v>572</v>
      </c>
      <c r="R58" s="445" t="s">
        <v>573</v>
      </c>
      <c r="S58" s="444" t="s">
        <v>536</v>
      </c>
      <c r="T58" s="449">
        <v>24.9</v>
      </c>
      <c r="U58" s="447">
        <v>8.2573507462686528</v>
      </c>
    </row>
    <row r="59" spans="2:21" x14ac:dyDescent="0.25">
      <c r="B59" s="457" t="s">
        <v>624</v>
      </c>
      <c r="C59" s="410"/>
      <c r="D59" s="410"/>
      <c r="E59" s="410"/>
      <c r="F59" s="410"/>
      <c r="G59" s="410"/>
      <c r="H59" s="410"/>
      <c r="I59" s="410"/>
      <c r="K59" s="428"/>
      <c r="L59" s="429" t="s">
        <v>574</v>
      </c>
      <c r="M59" s="452">
        <v>3.9</v>
      </c>
      <c r="N59" s="452">
        <v>2.1</v>
      </c>
      <c r="O59" s="6"/>
      <c r="P59" s="444" t="s">
        <v>575</v>
      </c>
      <c r="Q59" s="445" t="s">
        <v>576</v>
      </c>
      <c r="R59" s="445" t="s">
        <v>577</v>
      </c>
      <c r="S59" s="444" t="s">
        <v>536</v>
      </c>
      <c r="T59" s="449">
        <v>24.8</v>
      </c>
      <c r="U59" s="447">
        <v>8.352129527991206</v>
      </c>
    </row>
    <row r="60" spans="2:21" ht="15" customHeight="1" x14ac:dyDescent="0.25">
      <c r="B60" s="726" t="s">
        <v>345</v>
      </c>
      <c r="C60" s="730" t="s">
        <v>338</v>
      </c>
      <c r="D60" s="730"/>
      <c r="E60" s="730" t="s">
        <v>337</v>
      </c>
      <c r="F60" s="730"/>
      <c r="G60" s="730" t="s">
        <v>335</v>
      </c>
      <c r="H60" s="730"/>
      <c r="I60" s="459"/>
      <c r="K60" s="425" t="s">
        <v>501</v>
      </c>
      <c r="L60" s="426" t="s">
        <v>578</v>
      </c>
      <c r="M60" s="451">
        <v>3.4</v>
      </c>
      <c r="N60" s="451">
        <v>0.9</v>
      </c>
      <c r="O60" s="6"/>
      <c r="P60" s="444" t="s">
        <v>579</v>
      </c>
      <c r="Q60" s="445" t="s">
        <v>580</v>
      </c>
      <c r="R60" s="445" t="s">
        <v>565</v>
      </c>
      <c r="S60" s="444" t="s">
        <v>536</v>
      </c>
      <c r="T60" s="449">
        <v>23</v>
      </c>
      <c r="U60" s="447">
        <v>8.3436455561468801</v>
      </c>
    </row>
    <row r="61" spans="2:21" x14ac:dyDescent="0.25">
      <c r="B61" s="726"/>
      <c r="C61" s="694" t="s">
        <v>339</v>
      </c>
      <c r="D61" s="694"/>
      <c r="E61" s="694" t="s">
        <v>43</v>
      </c>
      <c r="F61" s="694"/>
      <c r="G61" s="694" t="s">
        <v>336</v>
      </c>
      <c r="H61" s="694"/>
      <c r="I61" s="460"/>
      <c r="K61" s="428"/>
      <c r="L61" s="429" t="s">
        <v>581</v>
      </c>
      <c r="M61" s="452">
        <v>11</v>
      </c>
      <c r="N61" s="452">
        <v>0.4</v>
      </c>
      <c r="O61" s="6"/>
      <c r="P61" s="444" t="s">
        <v>582</v>
      </c>
      <c r="Q61" s="445" t="s">
        <v>583</v>
      </c>
      <c r="R61" s="445" t="s">
        <v>584</v>
      </c>
      <c r="S61" s="444" t="s">
        <v>536</v>
      </c>
      <c r="T61" s="449">
        <v>22.7</v>
      </c>
      <c r="U61" s="447">
        <v>7.9483076104310761</v>
      </c>
    </row>
    <row r="62" spans="2:21" ht="25.5" customHeight="1" x14ac:dyDescent="0.25">
      <c r="B62" s="726"/>
      <c r="C62" s="695">
        <f>I31</f>
        <v>0</v>
      </c>
      <c r="D62" s="695"/>
      <c r="E62" s="695">
        <f>C11</f>
        <v>0</v>
      </c>
      <c r="F62" s="695"/>
      <c r="G62" s="695">
        <f>D54*365</f>
        <v>0</v>
      </c>
      <c r="H62" s="695"/>
      <c r="I62" s="728" t="s">
        <v>625</v>
      </c>
      <c r="K62" s="315" t="s">
        <v>502</v>
      </c>
      <c r="L62" s="424" t="s">
        <v>541</v>
      </c>
      <c r="M62" s="448">
        <v>6.2</v>
      </c>
      <c r="N62" s="448">
        <v>6.9</v>
      </c>
      <c r="O62" s="6"/>
      <c r="P62" s="444" t="s">
        <v>585</v>
      </c>
      <c r="Q62" s="445" t="s">
        <v>586</v>
      </c>
      <c r="R62" s="445" t="s">
        <v>565</v>
      </c>
      <c r="S62" s="444" t="s">
        <v>536</v>
      </c>
      <c r="T62" s="449">
        <v>21.7</v>
      </c>
      <c r="U62" s="447">
        <v>7.8432844733984828</v>
      </c>
    </row>
    <row r="63" spans="2:21" x14ac:dyDescent="0.25">
      <c r="B63" s="726"/>
      <c r="C63" s="191" t="s">
        <v>341</v>
      </c>
      <c r="D63" s="191" t="s">
        <v>343</v>
      </c>
      <c r="E63" s="191" t="s">
        <v>341</v>
      </c>
      <c r="F63" s="191" t="s">
        <v>343</v>
      </c>
      <c r="G63" s="191" t="s">
        <v>341</v>
      </c>
      <c r="H63" s="192" t="s">
        <v>343</v>
      </c>
      <c r="I63" s="729"/>
      <c r="K63" s="315"/>
      <c r="L63" s="424" t="s">
        <v>587</v>
      </c>
      <c r="M63" s="448">
        <v>7.5</v>
      </c>
      <c r="N63" s="448" t="s">
        <v>557</v>
      </c>
      <c r="O63" s="6"/>
      <c r="P63" s="444" t="s">
        <v>588</v>
      </c>
      <c r="Q63" s="445" t="s">
        <v>589</v>
      </c>
      <c r="R63" s="445" t="s">
        <v>590</v>
      </c>
      <c r="S63" s="444" t="s">
        <v>536</v>
      </c>
      <c r="T63" s="449">
        <v>20.9</v>
      </c>
      <c r="U63" s="447">
        <v>7.6857051623203763</v>
      </c>
    </row>
    <row r="64" spans="2:21" x14ac:dyDescent="0.25">
      <c r="B64" s="727"/>
      <c r="C64" s="193" t="s">
        <v>340</v>
      </c>
      <c r="D64" s="194" t="s">
        <v>43</v>
      </c>
      <c r="E64" s="193" t="s">
        <v>36</v>
      </c>
      <c r="F64" s="194" t="s">
        <v>43</v>
      </c>
      <c r="G64" s="193" t="s">
        <v>342</v>
      </c>
      <c r="H64" s="195" t="s">
        <v>43</v>
      </c>
      <c r="I64" s="458" t="s">
        <v>23</v>
      </c>
      <c r="K64" s="315"/>
      <c r="L64" s="424" t="s">
        <v>591</v>
      </c>
      <c r="M64" s="448">
        <v>15</v>
      </c>
      <c r="N64" s="448">
        <v>3.4</v>
      </c>
      <c r="O64" s="6"/>
      <c r="P64" s="444" t="s">
        <v>592</v>
      </c>
      <c r="Q64" s="445" t="s">
        <v>593</v>
      </c>
      <c r="R64" s="445" t="s">
        <v>548</v>
      </c>
      <c r="S64" s="444" t="s">
        <v>536</v>
      </c>
      <c r="T64" s="449">
        <v>15.8</v>
      </c>
      <c r="U64" s="447">
        <v>6.5819925412892983</v>
      </c>
    </row>
    <row r="65" spans="2:21" x14ac:dyDescent="0.25">
      <c r="B65" s="196" t="s">
        <v>45</v>
      </c>
      <c r="C65" s="197">
        <f>I35</f>
        <v>0</v>
      </c>
      <c r="D65" s="198">
        <f>C62*C65/2000</f>
        <v>0</v>
      </c>
      <c r="E65" s="190">
        <f>I48</f>
        <v>0</v>
      </c>
      <c r="F65" s="198">
        <f>E62*E65/2000</f>
        <v>0</v>
      </c>
      <c r="G65" s="198">
        <f>I55</f>
        <v>0</v>
      </c>
      <c r="H65" s="198">
        <f>G65*$G$62/2000</f>
        <v>0</v>
      </c>
      <c r="I65" s="117">
        <f>(D65+F65+H65)</f>
        <v>0</v>
      </c>
      <c r="K65" s="425" t="s">
        <v>594</v>
      </c>
      <c r="L65" s="426" t="s">
        <v>595</v>
      </c>
      <c r="M65" s="451">
        <v>2.2000000000000002</v>
      </c>
      <c r="N65" s="451">
        <v>4.5</v>
      </c>
      <c r="O65" s="6"/>
      <c r="P65" s="444" t="s">
        <v>596</v>
      </c>
      <c r="Q65" s="445" t="s">
        <v>597</v>
      </c>
      <c r="R65" s="445" t="s">
        <v>598</v>
      </c>
      <c r="S65" s="444" t="s">
        <v>536</v>
      </c>
      <c r="T65" s="449">
        <v>13.5</v>
      </c>
      <c r="U65" s="447">
        <v>6.8040784524449176</v>
      </c>
    </row>
    <row r="66" spans="2:21" x14ac:dyDescent="0.25">
      <c r="B66" s="196" t="s">
        <v>46</v>
      </c>
      <c r="C66" s="197">
        <f>I36</f>
        <v>0</v>
      </c>
      <c r="D66" s="187">
        <f>C62*C66/2000</f>
        <v>0</v>
      </c>
      <c r="E66" s="190">
        <f>I49</f>
        <v>0</v>
      </c>
      <c r="F66" s="187">
        <f>E62*E66/2000</f>
        <v>0</v>
      </c>
      <c r="G66" s="198">
        <f>I56</f>
        <v>0</v>
      </c>
      <c r="H66" s="198">
        <f t="shared" ref="H66:H67" si="0">G66*$G$62/2000</f>
        <v>0</v>
      </c>
      <c r="I66" s="117">
        <f>(D66+F66+H66)</f>
        <v>0</v>
      </c>
      <c r="K66" s="425" t="s">
        <v>509</v>
      </c>
      <c r="L66" s="426" t="s">
        <v>599</v>
      </c>
      <c r="M66" s="451">
        <v>2.6</v>
      </c>
      <c r="N66" s="451">
        <v>7.4</v>
      </c>
      <c r="O66" s="6"/>
      <c r="P66" s="444" t="s">
        <v>600</v>
      </c>
      <c r="Q66" s="445" t="s">
        <v>601</v>
      </c>
      <c r="R66" s="445" t="s">
        <v>602</v>
      </c>
      <c r="S66" s="444" t="s">
        <v>603</v>
      </c>
      <c r="T66" s="449">
        <v>43.1</v>
      </c>
      <c r="U66" s="447">
        <v>11.666423629590208</v>
      </c>
    </row>
    <row r="67" spans="2:21" x14ac:dyDescent="0.25">
      <c r="B67" s="196" t="s">
        <v>84</v>
      </c>
      <c r="C67" s="197">
        <f>I37</f>
        <v>0</v>
      </c>
      <c r="D67" s="187">
        <f>C62*C67/2000</f>
        <v>0</v>
      </c>
      <c r="E67" s="190">
        <f>I50</f>
        <v>0</v>
      </c>
      <c r="F67" s="187">
        <f>E62*E67/2000</f>
        <v>0</v>
      </c>
      <c r="G67" s="198">
        <f>I57</f>
        <v>0</v>
      </c>
      <c r="H67" s="198">
        <f t="shared" si="0"/>
        <v>0</v>
      </c>
      <c r="I67" s="117">
        <f>(D67+F67+H67)</f>
        <v>0</v>
      </c>
      <c r="K67" s="315"/>
      <c r="L67" s="424" t="s">
        <v>545</v>
      </c>
      <c r="M67" s="448">
        <v>3.8</v>
      </c>
      <c r="N67" s="448">
        <v>3.6</v>
      </c>
      <c r="O67" s="6"/>
      <c r="P67" s="444" t="s">
        <v>604</v>
      </c>
      <c r="Q67" s="445" t="s">
        <v>605</v>
      </c>
      <c r="R67" s="445" t="s">
        <v>606</v>
      </c>
      <c r="S67" s="444" t="s">
        <v>603</v>
      </c>
      <c r="T67" s="449">
        <v>40.5</v>
      </c>
      <c r="U67" s="447">
        <v>10.964177754124531</v>
      </c>
    </row>
    <row r="68" spans="2:21" x14ac:dyDescent="0.25">
      <c r="B68" s="406"/>
      <c r="C68" s="406"/>
      <c r="D68" s="406"/>
      <c r="E68" s="406"/>
      <c r="F68" s="406"/>
      <c r="G68" s="406"/>
      <c r="H68" s="406"/>
      <c r="I68" s="406"/>
      <c r="K68" s="315"/>
      <c r="L68" s="424" t="s">
        <v>607</v>
      </c>
      <c r="M68" s="448">
        <v>9</v>
      </c>
      <c r="N68" s="448">
        <v>12</v>
      </c>
      <c r="O68" s="6"/>
      <c r="P68" s="444" t="s">
        <v>608</v>
      </c>
      <c r="Q68" s="445" t="s">
        <v>609</v>
      </c>
      <c r="R68" s="445" t="s">
        <v>610</v>
      </c>
      <c r="S68" s="444" t="s">
        <v>115</v>
      </c>
      <c r="T68" s="449">
        <v>40.299999999999997</v>
      </c>
      <c r="U68" s="447">
        <v>10.930995210218205</v>
      </c>
    </row>
    <row r="69" spans="2:21" x14ac:dyDescent="0.25">
      <c r="B69" s="411"/>
      <c r="C69" s="411"/>
      <c r="D69" s="411"/>
      <c r="E69" s="411"/>
      <c r="F69" s="411"/>
      <c r="G69" s="411"/>
      <c r="H69" s="411"/>
      <c r="I69" s="411"/>
      <c r="K69" s="315"/>
      <c r="L69" s="424" t="s">
        <v>611</v>
      </c>
      <c r="M69" s="448">
        <v>9.1999999999999993</v>
      </c>
      <c r="N69" s="448">
        <v>14</v>
      </c>
      <c r="O69" s="6"/>
      <c r="P69" s="444" t="s">
        <v>612</v>
      </c>
      <c r="Q69" s="445" t="s">
        <v>613</v>
      </c>
      <c r="R69" s="445" t="s">
        <v>613</v>
      </c>
      <c r="S69" s="444" t="s">
        <v>115</v>
      </c>
      <c r="T69" s="449">
        <v>38.1</v>
      </c>
      <c r="U69" s="447">
        <v>10.73090957446807</v>
      </c>
    </row>
    <row r="70" spans="2:21" ht="15" customHeight="1" x14ac:dyDescent="0.25">
      <c r="B70" s="726" t="s">
        <v>346</v>
      </c>
      <c r="C70" s="730" t="s">
        <v>338</v>
      </c>
      <c r="D70" s="730"/>
      <c r="E70" s="730" t="s">
        <v>337</v>
      </c>
      <c r="F70" s="730"/>
      <c r="G70" s="730" t="s">
        <v>335</v>
      </c>
      <c r="H70" s="730"/>
      <c r="I70" s="459"/>
      <c r="K70" s="315"/>
      <c r="L70" s="424" t="s">
        <v>614</v>
      </c>
      <c r="M70" s="448">
        <v>6</v>
      </c>
      <c r="N70" s="448">
        <v>10</v>
      </c>
      <c r="O70" s="6"/>
      <c r="P70" s="444" t="s">
        <v>615</v>
      </c>
      <c r="Q70" s="445" t="s">
        <v>616</v>
      </c>
      <c r="R70" s="445" t="s">
        <v>617</v>
      </c>
      <c r="S70" s="444" t="s">
        <v>618</v>
      </c>
      <c r="T70" s="449">
        <v>35.200000000000003</v>
      </c>
      <c r="U70" s="447">
        <v>9.8604202127659377</v>
      </c>
    </row>
    <row r="71" spans="2:21" x14ac:dyDescent="0.25">
      <c r="B71" s="726"/>
      <c r="C71" s="694" t="s">
        <v>339</v>
      </c>
      <c r="D71" s="694"/>
      <c r="E71" s="694" t="s">
        <v>43</v>
      </c>
      <c r="F71" s="694"/>
      <c r="G71" s="694" t="s">
        <v>344</v>
      </c>
      <c r="H71" s="694"/>
      <c r="I71" s="460"/>
      <c r="K71" s="315"/>
      <c r="L71" s="424" t="s">
        <v>619</v>
      </c>
      <c r="M71" s="448">
        <v>80</v>
      </c>
      <c r="N71" s="448">
        <v>27</v>
      </c>
      <c r="O71" s="6"/>
      <c r="P71" s="444" t="s">
        <v>620</v>
      </c>
      <c r="Q71" s="445" t="s">
        <v>621</v>
      </c>
      <c r="R71" s="445" t="s">
        <v>621</v>
      </c>
      <c r="S71" s="444" t="s">
        <v>622</v>
      </c>
      <c r="T71" s="449">
        <v>22</v>
      </c>
      <c r="U71" s="447">
        <v>8.1261096327833755</v>
      </c>
    </row>
    <row r="72" spans="2:21" x14ac:dyDescent="0.25">
      <c r="B72" s="726"/>
      <c r="C72" s="695">
        <f>I32</f>
        <v>0</v>
      </c>
      <c r="D72" s="695"/>
      <c r="E72" s="695">
        <f>C22</f>
        <v>0</v>
      </c>
      <c r="F72" s="695"/>
      <c r="G72" s="695">
        <f>D53*D54</f>
        <v>0</v>
      </c>
      <c r="H72" s="695"/>
      <c r="I72" s="728" t="s">
        <v>626</v>
      </c>
      <c r="K72" s="315"/>
      <c r="L72" s="424" t="s">
        <v>623</v>
      </c>
      <c r="M72" s="448">
        <v>12</v>
      </c>
      <c r="N72" s="448">
        <v>11</v>
      </c>
      <c r="O72" s="6"/>
      <c r="P72" s="6"/>
      <c r="Q72" s="6"/>
      <c r="R72" s="6"/>
      <c r="S72" s="6"/>
      <c r="T72" s="6"/>
      <c r="U72" s="143"/>
    </row>
    <row r="73" spans="2:21" x14ac:dyDescent="0.25">
      <c r="B73" s="726"/>
      <c r="C73" s="191" t="s">
        <v>341</v>
      </c>
      <c r="D73" s="191" t="s">
        <v>664</v>
      </c>
      <c r="E73" s="191" t="s">
        <v>341</v>
      </c>
      <c r="F73" s="191" t="s">
        <v>664</v>
      </c>
      <c r="G73" s="191" t="s">
        <v>341</v>
      </c>
      <c r="H73" s="192" t="s">
        <v>664</v>
      </c>
      <c r="I73" s="729"/>
    </row>
    <row r="74" spans="2:21" x14ac:dyDescent="0.25">
      <c r="B74" s="727"/>
      <c r="C74" s="193" t="s">
        <v>340</v>
      </c>
      <c r="D74" s="194" t="s">
        <v>43</v>
      </c>
      <c r="E74" s="193" t="s">
        <v>36</v>
      </c>
      <c r="F74" s="194" t="s">
        <v>43</v>
      </c>
      <c r="G74" s="193" t="s">
        <v>342</v>
      </c>
      <c r="H74" s="195" t="s">
        <v>43</v>
      </c>
      <c r="I74" s="458" t="s">
        <v>23</v>
      </c>
    </row>
    <row r="75" spans="2:21" x14ac:dyDescent="0.25">
      <c r="B75" s="196" t="s">
        <v>45</v>
      </c>
      <c r="C75" s="197">
        <f>I35</f>
        <v>0</v>
      </c>
      <c r="D75" s="198">
        <f>C72*C75/2000</f>
        <v>0</v>
      </c>
      <c r="E75" s="190">
        <f>E65</f>
        <v>0</v>
      </c>
      <c r="F75" s="198">
        <f>E72*E75/2000</f>
        <v>0</v>
      </c>
      <c r="G75" s="198">
        <f>I55</f>
        <v>0</v>
      </c>
      <c r="H75" s="198">
        <f>$G$72*G75/2000</f>
        <v>0</v>
      </c>
      <c r="I75" s="117">
        <f>D75+F75+H75</f>
        <v>0</v>
      </c>
    </row>
    <row r="76" spans="2:21" x14ac:dyDescent="0.25">
      <c r="B76" s="196" t="s">
        <v>46</v>
      </c>
      <c r="C76" s="197">
        <f>I36</f>
        <v>0</v>
      </c>
      <c r="D76" s="187">
        <f>C72*C76/2000</f>
        <v>0</v>
      </c>
      <c r="E76" s="190">
        <f>E66</f>
        <v>0</v>
      </c>
      <c r="F76" s="187">
        <f>E72*E76/2000</f>
        <v>0</v>
      </c>
      <c r="G76" s="198">
        <f>I56</f>
        <v>0</v>
      </c>
      <c r="H76" s="198">
        <f t="shared" ref="H76:H77" si="1">$G$72*G76/2000</f>
        <v>0</v>
      </c>
      <c r="I76" s="117">
        <f>D76+F76+H76</f>
        <v>0</v>
      </c>
    </row>
    <row r="77" spans="2:21" x14ac:dyDescent="0.25">
      <c r="B77" s="196" t="s">
        <v>84</v>
      </c>
      <c r="C77" s="197">
        <f>I37</f>
        <v>0</v>
      </c>
      <c r="D77" s="187">
        <f>C72*C77/2000</f>
        <v>0</v>
      </c>
      <c r="E77" s="190">
        <f>E67</f>
        <v>0</v>
      </c>
      <c r="F77" s="187">
        <f>E72*E77/2000</f>
        <v>0</v>
      </c>
      <c r="G77" s="198">
        <f>I57</f>
        <v>0</v>
      </c>
      <c r="H77" s="198">
        <f t="shared" si="1"/>
        <v>0</v>
      </c>
      <c r="I77" s="117">
        <f>D77+F77+H77</f>
        <v>0</v>
      </c>
    </row>
    <row r="78" spans="2:21" x14ac:dyDescent="0.25">
      <c r="B78" s="199"/>
      <c r="C78" s="199"/>
      <c r="D78" s="199"/>
      <c r="E78" s="199"/>
      <c r="F78" s="199"/>
      <c r="G78" s="199"/>
      <c r="H78" s="115"/>
      <c r="I78" s="115"/>
    </row>
    <row r="79" spans="2:21" x14ac:dyDescent="0.25">
      <c r="B79" s="233" t="s">
        <v>325</v>
      </c>
      <c r="C79" s="710" t="s">
        <v>80</v>
      </c>
      <c r="D79" s="710"/>
      <c r="E79" s="234" t="s">
        <v>81</v>
      </c>
      <c r="F79" s="235"/>
      <c r="G79" s="710" t="s">
        <v>82</v>
      </c>
      <c r="H79" s="710"/>
      <c r="I79" s="236"/>
      <c r="J79" s="119"/>
    </row>
    <row r="80" spans="2:21" x14ac:dyDescent="0.25">
      <c r="B80" s="237" t="s">
        <v>326</v>
      </c>
      <c r="C80" s="236"/>
      <c r="D80" s="236"/>
      <c r="E80" s="708" t="s">
        <v>73</v>
      </c>
      <c r="F80" s="708"/>
      <c r="G80" s="708"/>
      <c r="H80" s="708"/>
      <c r="I80" s="708"/>
      <c r="J80" s="119"/>
    </row>
    <row r="81" spans="1:10" x14ac:dyDescent="0.25">
      <c r="B81" s="238" t="s">
        <v>327</v>
      </c>
      <c r="C81" s="238"/>
      <c r="D81" s="238"/>
      <c r="E81" s="238"/>
      <c r="F81" s="707" t="s">
        <v>263</v>
      </c>
      <c r="G81" s="707"/>
      <c r="H81" s="707"/>
      <c r="I81" s="707"/>
      <c r="J81" s="119"/>
    </row>
    <row r="82" spans="1:10" x14ac:dyDescent="0.25">
      <c r="B82" s="239" t="s">
        <v>264</v>
      </c>
      <c r="C82" s="239"/>
      <c r="D82" s="239"/>
      <c r="E82" s="239"/>
      <c r="F82" s="707" t="s">
        <v>265</v>
      </c>
      <c r="G82" s="707"/>
      <c r="H82" s="707"/>
      <c r="I82" s="707"/>
      <c r="J82" s="119"/>
    </row>
    <row r="83" spans="1:10" x14ac:dyDescent="0.25">
      <c r="B83" s="408" t="s">
        <v>390</v>
      </c>
      <c r="C83" s="408"/>
      <c r="D83" s="408"/>
      <c r="E83" s="408"/>
      <c r="F83" s="408"/>
      <c r="G83" s="240"/>
      <c r="H83" s="723"/>
      <c r="I83" s="723"/>
      <c r="J83" s="119"/>
    </row>
    <row r="84" spans="1:10" x14ac:dyDescent="0.25">
      <c r="B84" s="709" t="s">
        <v>328</v>
      </c>
      <c r="C84" s="709"/>
      <c r="D84" s="409" t="s">
        <v>210</v>
      </c>
      <c r="E84" s="409"/>
      <c r="F84" s="409"/>
      <c r="G84" s="409"/>
      <c r="H84" s="723"/>
      <c r="I84" s="723"/>
      <c r="J84" s="119"/>
    </row>
    <row r="85" spans="1:10" x14ac:dyDescent="0.25">
      <c r="B85" s="407" t="s">
        <v>329</v>
      </c>
      <c r="C85" s="407"/>
      <c r="D85" s="407"/>
      <c r="E85" s="407"/>
      <c r="F85" s="407"/>
      <c r="G85" s="407"/>
      <c r="H85" s="723"/>
      <c r="I85" s="723"/>
      <c r="J85" s="119"/>
    </row>
    <row r="86" spans="1:10" x14ac:dyDescent="0.25">
      <c r="B86" s="711" t="s">
        <v>485</v>
      </c>
      <c r="C86" s="711"/>
      <c r="D86" s="711"/>
      <c r="H86" s="723"/>
      <c r="I86" s="723"/>
      <c r="J86" s="119"/>
    </row>
    <row r="87" spans="1:10" x14ac:dyDescent="0.25">
      <c r="B87" s="409" t="s">
        <v>486</v>
      </c>
      <c r="C87" s="409"/>
      <c r="D87" s="409"/>
      <c r="E87" s="409"/>
      <c r="F87" s="404"/>
      <c r="G87" s="404"/>
      <c r="H87" s="723"/>
      <c r="I87" s="723"/>
      <c r="J87" s="119"/>
    </row>
    <row r="88" spans="1:10" x14ac:dyDescent="0.25">
      <c r="B88" s="407" t="s">
        <v>332</v>
      </c>
      <c r="C88" s="407"/>
      <c r="D88" s="407"/>
      <c r="E88" s="407"/>
      <c r="F88" s="407"/>
      <c r="G88" s="407"/>
      <c r="H88" s="723"/>
      <c r="I88" s="723"/>
      <c r="J88" s="119"/>
    </row>
    <row r="89" spans="1:10" x14ac:dyDescent="0.25">
      <c r="B89" s="405" t="s">
        <v>487</v>
      </c>
      <c r="C89" s="405"/>
      <c r="D89" s="409"/>
      <c r="E89" s="409"/>
      <c r="F89" s="409"/>
      <c r="G89" s="409"/>
      <c r="H89" s="723"/>
      <c r="I89" s="723"/>
      <c r="J89" s="119"/>
    </row>
    <row r="90" spans="1:10" x14ac:dyDescent="0.25">
      <c r="B90" s="409" t="s">
        <v>488</v>
      </c>
      <c r="C90" s="236"/>
      <c r="D90" s="236"/>
      <c r="E90" s="236"/>
      <c r="F90" s="236"/>
      <c r="G90" s="236"/>
      <c r="H90" s="723"/>
      <c r="I90" s="723"/>
      <c r="J90" s="119"/>
    </row>
    <row r="91" spans="1:10" x14ac:dyDescent="0.25">
      <c r="B91" s="315" t="s">
        <v>627</v>
      </c>
      <c r="C91" s="115"/>
      <c r="D91" s="115"/>
      <c r="E91" s="115"/>
      <c r="F91" s="115"/>
      <c r="G91" s="115"/>
      <c r="H91" s="115"/>
      <c r="I91" s="115"/>
    </row>
    <row r="92" spans="1:10" x14ac:dyDescent="0.25">
      <c r="A92" s="120"/>
      <c r="B92" s="114"/>
      <c r="C92" s="114"/>
      <c r="D92" s="114"/>
      <c r="E92" s="114"/>
      <c r="F92" s="114"/>
      <c r="G92" s="114"/>
      <c r="H92" s="114"/>
      <c r="I92" s="114"/>
    </row>
    <row r="93" spans="1:10" x14ac:dyDescent="0.25">
      <c r="A93" s="120"/>
      <c r="B93" s="115"/>
      <c r="C93" s="115"/>
      <c r="D93" s="115"/>
      <c r="E93" s="115"/>
      <c r="F93" s="115"/>
      <c r="G93" s="115"/>
      <c r="H93" s="115"/>
      <c r="I93" s="115"/>
    </row>
    <row r="94" spans="1:10" x14ac:dyDescent="0.25">
      <c r="A94" s="120"/>
      <c r="B94" s="115"/>
      <c r="C94" s="115"/>
      <c r="D94" s="115"/>
      <c r="E94" s="115"/>
      <c r="F94" s="115"/>
      <c r="G94" s="115"/>
      <c r="H94" s="115"/>
      <c r="I94" s="115"/>
    </row>
    <row r="95" spans="1:10" x14ac:dyDescent="0.25">
      <c r="A95" s="120"/>
      <c r="B95" s="115"/>
      <c r="C95" s="115"/>
      <c r="D95" s="115"/>
      <c r="E95" s="115"/>
      <c r="F95" s="115"/>
      <c r="G95" s="115"/>
      <c r="H95" s="115"/>
      <c r="I95" s="115"/>
    </row>
    <row r="96" spans="1:10" x14ac:dyDescent="0.25">
      <c r="A96" s="120"/>
      <c r="B96" s="115"/>
      <c r="C96" s="115"/>
      <c r="D96" s="115"/>
      <c r="E96" s="115"/>
      <c r="F96" s="115"/>
      <c r="G96" s="115"/>
      <c r="H96" s="115"/>
      <c r="I96" s="115"/>
    </row>
    <row r="97" spans="1:9" x14ac:dyDescent="0.25">
      <c r="A97" s="120"/>
      <c r="B97" s="115"/>
      <c r="C97" s="115"/>
      <c r="D97" s="115"/>
      <c r="E97" s="115"/>
      <c r="F97" s="115"/>
      <c r="G97" s="115"/>
      <c r="H97" s="115"/>
      <c r="I97" s="115"/>
    </row>
    <row r="98" spans="1:9" x14ac:dyDescent="0.25">
      <c r="A98" s="120"/>
      <c r="B98" s="115"/>
      <c r="C98" s="115"/>
      <c r="D98" s="115"/>
      <c r="E98" s="115"/>
      <c r="F98" s="115"/>
      <c r="G98" s="115"/>
      <c r="H98" s="115"/>
      <c r="I98" s="115"/>
    </row>
    <row r="99" spans="1:9" x14ac:dyDescent="0.25">
      <c r="A99" s="120"/>
      <c r="B99" s="115"/>
      <c r="C99" s="115"/>
      <c r="D99" s="115"/>
      <c r="E99" s="115"/>
      <c r="F99" s="115"/>
      <c r="G99" s="115"/>
      <c r="H99" s="115"/>
      <c r="I99" s="115"/>
    </row>
    <row r="100" spans="1:9" x14ac:dyDescent="0.25">
      <c r="A100" s="120"/>
    </row>
    <row r="101" spans="1:9" x14ac:dyDescent="0.25">
      <c r="A101" s="120"/>
    </row>
    <row r="102" spans="1:9" x14ac:dyDescent="0.25">
      <c r="A102" s="120"/>
    </row>
    <row r="103" spans="1:9" x14ac:dyDescent="0.25">
      <c r="A103" s="120"/>
    </row>
    <row r="104" spans="1:9" x14ac:dyDescent="0.25">
      <c r="A104" s="120"/>
    </row>
  </sheetData>
  <protectedRanges>
    <protectedRange sqref="J1:AZ13 J20:AZ25 J73:AZ298 N26:AZ45 A90:A298 B92:I298 J26:J72 V46:AZ72 C91:I91" name="WriteSpace"/>
    <protectedRange sqref="D46:D48 D27:D32 E27:E29 D34:D37 D53:D54 D57" name="Fugitive"/>
    <protectedRange sqref="I14:I16" name="Range1"/>
    <protectedRange sqref="J14:AZ19" name="Range2"/>
    <protectedRange sqref="H86:I89 C90:I90 B79:I85" name="Range3"/>
    <protectedRange sqref="B86:D86 B87:G89" name="Range3_1"/>
    <protectedRange sqref="D33 D55:D56 D49:D50" name="Fugitive_1"/>
    <protectedRange sqref="U49:U53 U55:U72" name="WriteSpace_1"/>
    <protectedRange sqref="B60:B64" name="Range3_2"/>
    <protectedRange sqref="B90" name="Range3_1_1"/>
  </protectedRanges>
  <mergeCells count="90">
    <mergeCell ref="T47:T48"/>
    <mergeCell ref="U47:U48"/>
    <mergeCell ref="B60:B64"/>
    <mergeCell ref="B70:B74"/>
    <mergeCell ref="I62:I63"/>
    <mergeCell ref="I72:I73"/>
    <mergeCell ref="G72:H72"/>
    <mergeCell ref="C70:D70"/>
    <mergeCell ref="E70:F70"/>
    <mergeCell ref="G70:H70"/>
    <mergeCell ref="C61:D61"/>
    <mergeCell ref="E61:F61"/>
    <mergeCell ref="G61:H61"/>
    <mergeCell ref="C60:D60"/>
    <mergeCell ref="E60:F60"/>
    <mergeCell ref="G60:H60"/>
    <mergeCell ref="B86:D86"/>
    <mergeCell ref="B5:I6"/>
    <mergeCell ref="B4:I4"/>
    <mergeCell ref="B12:I12"/>
    <mergeCell ref="B14:I14"/>
    <mergeCell ref="C15:D15"/>
    <mergeCell ref="B16:B17"/>
    <mergeCell ref="C16:D17"/>
    <mergeCell ref="E16:H19"/>
    <mergeCell ref="B18:B19"/>
    <mergeCell ref="C18:D19"/>
    <mergeCell ref="H83:I90"/>
    <mergeCell ref="G62:H62"/>
    <mergeCell ref="C62:D62"/>
    <mergeCell ref="E62:F62"/>
    <mergeCell ref="F82:I82"/>
    <mergeCell ref="F81:I81"/>
    <mergeCell ref="E80:I80"/>
    <mergeCell ref="B84:C84"/>
    <mergeCell ref="C79:D79"/>
    <mergeCell ref="G79:H79"/>
    <mergeCell ref="B1:I1"/>
    <mergeCell ref="B2:I2"/>
    <mergeCell ref="B3:I3"/>
    <mergeCell ref="B46:C46"/>
    <mergeCell ref="B24:I24"/>
    <mergeCell ref="G37:H37"/>
    <mergeCell ref="B25:I25"/>
    <mergeCell ref="E36:H36"/>
    <mergeCell ref="B35:C35"/>
    <mergeCell ref="E35:H35"/>
    <mergeCell ref="F27:H27"/>
    <mergeCell ref="F28:H28"/>
    <mergeCell ref="F29:H29"/>
    <mergeCell ref="B33:C33"/>
    <mergeCell ref="B30:C30"/>
    <mergeCell ref="B32:C32"/>
    <mergeCell ref="B23:I23"/>
    <mergeCell ref="C9:I9"/>
    <mergeCell ref="B13:I13"/>
    <mergeCell ref="E21:I22"/>
    <mergeCell ref="C21:D21"/>
    <mergeCell ref="C10:D10"/>
    <mergeCell ref="E10:I11"/>
    <mergeCell ref="B20:I20"/>
    <mergeCell ref="C71:D71"/>
    <mergeCell ref="E71:F71"/>
    <mergeCell ref="G71:H71"/>
    <mergeCell ref="C72:D72"/>
    <mergeCell ref="E72:F72"/>
    <mergeCell ref="E54:I54"/>
    <mergeCell ref="E57:H57"/>
    <mergeCell ref="B55:C55"/>
    <mergeCell ref="B57:C57"/>
    <mergeCell ref="B53:C53"/>
    <mergeCell ref="B54:C54"/>
    <mergeCell ref="E53:I53"/>
    <mergeCell ref="B56:C56"/>
    <mergeCell ref="B7:I7"/>
    <mergeCell ref="B8:I8"/>
    <mergeCell ref="B49:C49"/>
    <mergeCell ref="B50:C50"/>
    <mergeCell ref="B52:I52"/>
    <mergeCell ref="B51:I51"/>
    <mergeCell ref="E31:H31"/>
    <mergeCell ref="F34:I34"/>
    <mergeCell ref="B36:C36"/>
    <mergeCell ref="E48:H48"/>
    <mergeCell ref="B47:C47"/>
    <mergeCell ref="B48:C48"/>
    <mergeCell ref="E47:I47"/>
    <mergeCell ref="B38:I38"/>
    <mergeCell ref="B37:C37"/>
    <mergeCell ref="B45:I45"/>
  </mergeCells>
  <conditionalFormatting sqref="E60 G60">
    <cfRule type="expression" dxfId="35" priority="1">
      <formula>OR(#REF!="Option B",OR(#REF!="Option X",#REF!="Option Y"))</formula>
    </cfRule>
  </conditionalFormatting>
  <conditionalFormatting sqref="E64 G64">
    <cfRule type="expression" dxfId="34" priority="2">
      <formula>OR(#REF!="Option B",OR(#REF!="Option X",#REF!="Option Y"))</formula>
    </cfRule>
  </conditionalFormatting>
  <conditionalFormatting sqref="E70 G70">
    <cfRule type="expression" dxfId="33" priority="4">
      <formula>OR(#REF!="Option B",OR(#REF!="Option X",#REF!="Option Y"))</formula>
    </cfRule>
  </conditionalFormatting>
  <conditionalFormatting sqref="E74 G74">
    <cfRule type="expression" dxfId="32" priority="5">
      <formula>OR(#REF!="Option B",OR(#REF!="Option X",#REF!="Option Y"))</formula>
    </cfRule>
  </conditionalFormatting>
  <conditionalFormatting sqref="E62:H62 E65:H67">
    <cfRule type="expression" dxfId="31" priority="3">
      <formula>OR(#REF!="Option B",OR(#REF!="Option X",#REF!="Option Y"))</formula>
    </cfRule>
  </conditionalFormatting>
  <conditionalFormatting sqref="E72:H72 E75:H77">
    <cfRule type="expression" dxfId="30" priority="138">
      <formula>OR(#REF!="Option B",OR(#REF!="Option X",#REF!="Option Y"))</formula>
    </cfRule>
  </conditionalFormatting>
  <conditionalFormatting sqref="I28">
    <cfRule type="expression" dxfId="29" priority="121">
      <formula>IF(AND(SUM(D27:E29)&lt;0,I28=ERROR.TYPE),(#REF!/((D$27*(D$29-D$28))+(E$27*(E$29-E$28)))),0)</formula>
    </cfRule>
  </conditionalFormatting>
  <conditionalFormatting sqref="I29">
    <cfRule type="expression" dxfId="28" priority="122">
      <formula>IF(AND(SUM(F31:G32)&lt;0,I29=ERROR.TYPE),(#REF!/((D$27*(D$29-D$28))+(E$27*(E$29-E$28)))),0)</formula>
    </cfRule>
  </conditionalFormatting>
  <dataValidations count="1">
    <dataValidation allowBlank="1" showInputMessage="1" showErrorMessage="1" promptTitle="Don't delete me!" prompt="This cell contains an equation." sqref="I31:I32 I48:I50 C22 I27:I29 I35:I37 I55:I57 C11" xr:uid="{00000000-0002-0000-0600-000000000000}"/>
  </dataValidations>
  <hyperlinks>
    <hyperlink ref="D84" r:id="rId1" display="Source: Based on AP-42 9.9 (03/2003)" xr:uid="{00000000-0004-0000-0600-000000000000}"/>
    <hyperlink ref="C79" r:id="rId2" display="Minn Rule 7007.0200 Subpart 2. B." xr:uid="{00000000-0004-0000-0600-000001000000}"/>
    <hyperlink ref="E79" r:id="rId3" display="Minn Rule 7007.1130 Subpart 4. " xr:uid="{00000000-0004-0000-0600-000002000000}"/>
    <hyperlink ref="G79" r:id="rId4" display="Minn Rule 7007.1300 Subpart 3. J." xr:uid="{00000000-0004-0000-0600-000003000000}"/>
    <hyperlink ref="E80" r:id="rId5" xr:uid="{00000000-0004-0000-0600-000004000000}"/>
    <hyperlink ref="B83:F83" r:id="rId6" display="4 Average across MN precipitation data in Comparative Climatic Data (CCD-2015) tables, page 42." xr:uid="{00000000-0004-0000-0600-000005000000}"/>
    <hyperlink ref="B87" r:id="rId7" display="Source: EPA Air/Superfund National Technical Guidance Study Series, Vol. III" xr:uid="{00000000-0004-0000-0600-000006000000}"/>
    <hyperlink ref="B87:E87" r:id="rId8" display="EPA Control of open fugitive dust sources, Sept. 1988, Equation 4-9" xr:uid="{00000000-0004-0000-0600-000007000000}"/>
    <hyperlink ref="K27" r:id="rId9" xr:uid="{3D13D279-2440-4FCE-A4D0-03D42B74F1F6}"/>
    <hyperlink ref="K47" r:id="rId10" display="AP-42 13.2.4-1" xr:uid="{DB5575EA-C33A-4C79-A62F-753503155605}"/>
    <hyperlink ref="B90" r:id="rId11" xr:uid="{E18D7C5C-7077-4693-A6EF-2D7912C78460}"/>
    <hyperlink ref="B8" r:id="rId12" xr:uid="{1B51A1E9-DA69-478D-A273-AF52325D8B70}"/>
  </hyperlinks>
  <pageMargins left="0.25" right="0.25" top="0.75" bottom="0.75" header="0.3" footer="0.3"/>
  <pageSetup fitToHeight="0" orientation="landscape" r:id="rId13"/>
  <headerFooter>
    <oddFooter>&amp;L&amp;"Arial,Italic"&amp;8p-sbap5-30&amp;C&amp;"Arial,Italic"&amp;8https://www.pca.state.mn.us  •  Available in alternative formats  •  Use your preferred relay service&amp;R&amp;10Page &amp;P of &amp;N</oddFooter>
    <firstFooter>&amp;L&amp;10Grain and Commodity Calculator - Instructions&amp;R&amp;10&amp;P</firstFooter>
  </headerFooter>
  <rowBreaks count="3" manualBreakCount="3">
    <brk id="23" min="1" max="8" man="1"/>
    <brk id="58" min="1" max="8" man="1"/>
    <brk id="90" min="1" max="8" man="1"/>
  </rowBreaks>
  <drawing r:id="rId1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rgb="FFEAF8D8"/>
    <pageSetUpPr fitToPage="1"/>
  </sheetPr>
  <dimension ref="B1:H54"/>
  <sheetViews>
    <sheetView showGridLines="0" zoomScaleNormal="100" zoomScaleSheetLayoutView="100" zoomScalePageLayoutView="85" workbookViewId="0">
      <selection activeCell="B2" sqref="B2:H2"/>
    </sheetView>
  </sheetViews>
  <sheetFormatPr defaultColWidth="9.140625" defaultRowHeight="15" x14ac:dyDescent="0.25"/>
  <cols>
    <col min="1" max="1" width="3.28515625" style="2" customWidth="1"/>
    <col min="2" max="2" width="23.7109375" style="2" customWidth="1"/>
    <col min="3" max="8" width="18" style="2" customWidth="1"/>
    <col min="9" max="16384" width="9.140625" style="2"/>
  </cols>
  <sheetData>
    <row r="1" spans="2:8" x14ac:dyDescent="0.25">
      <c r="B1" s="562" t="str">
        <f>Instructions!G2</f>
        <v>p-sbap5-30 • 7/31/25</v>
      </c>
      <c r="C1" s="562"/>
      <c r="D1" s="562"/>
      <c r="E1" s="562"/>
      <c r="F1" s="562"/>
      <c r="G1" s="562"/>
      <c r="H1" s="562"/>
    </row>
    <row r="2" spans="2:8" ht="19.5" thickBot="1" x14ac:dyDescent="0.3">
      <c r="B2" s="732" t="s">
        <v>372</v>
      </c>
      <c r="C2" s="732"/>
      <c r="D2" s="732"/>
      <c r="E2" s="732"/>
      <c r="F2" s="732"/>
      <c r="G2" s="732"/>
      <c r="H2" s="732"/>
    </row>
    <row r="3" spans="2:8" s="7" customFormat="1" ht="15.95" customHeight="1" thickBot="1" x14ac:dyDescent="0.25">
      <c r="B3" s="733" t="str">
        <f>IF('Data validation'!C22="yes","The flag next to a potential emission total means your potential emissions exceed the permitting threshold and a permit is required.","These pollutant totals represent the information you entered into this calculator.")</f>
        <v>These pollutant totals represent the information you entered into this calculator.</v>
      </c>
      <c r="C3" s="733"/>
      <c r="D3" s="733"/>
      <c r="E3" s="733"/>
      <c r="F3" s="733"/>
      <c r="G3" s="733"/>
      <c r="H3" s="733"/>
    </row>
    <row r="4" spans="2:8" s="7" customFormat="1" ht="15" customHeight="1" x14ac:dyDescent="0.2">
      <c r="B4" s="742" t="s">
        <v>38</v>
      </c>
      <c r="C4" s="734" t="s">
        <v>188</v>
      </c>
      <c r="D4" s="736" t="s">
        <v>187</v>
      </c>
      <c r="E4" s="736" t="s">
        <v>186</v>
      </c>
      <c r="F4" s="736" t="s">
        <v>189</v>
      </c>
      <c r="G4" s="738" t="s">
        <v>40</v>
      </c>
      <c r="H4" s="740" t="s">
        <v>63</v>
      </c>
    </row>
    <row r="5" spans="2:8" s="7" customFormat="1" ht="15" customHeight="1" x14ac:dyDescent="0.2">
      <c r="B5" s="743"/>
      <c r="C5" s="735"/>
      <c r="D5" s="737"/>
      <c r="E5" s="737"/>
      <c r="F5" s="737"/>
      <c r="G5" s="739"/>
      <c r="H5" s="741"/>
    </row>
    <row r="6" spans="2:8" s="7" customFormat="1" ht="15" customHeight="1" thickBot="1" x14ac:dyDescent="0.25">
      <c r="B6" s="744"/>
      <c r="C6" s="22" t="s">
        <v>43</v>
      </c>
      <c r="D6" s="74" t="s">
        <v>43</v>
      </c>
      <c r="E6" s="74" t="s">
        <v>43</v>
      </c>
      <c r="F6" s="74" t="s">
        <v>43</v>
      </c>
      <c r="G6" s="74" t="s">
        <v>43</v>
      </c>
      <c r="H6" s="23" t="s">
        <v>43</v>
      </c>
    </row>
    <row r="7" spans="2:8" s="7" customFormat="1" ht="15" customHeight="1" x14ac:dyDescent="0.2">
      <c r="B7" s="73" t="s">
        <v>61</v>
      </c>
      <c r="C7" s="24"/>
      <c r="D7" s="24"/>
      <c r="E7" s="10"/>
      <c r="F7" s="25"/>
      <c r="G7" s="17"/>
      <c r="H7" s="26"/>
    </row>
    <row r="8" spans="2:8" s="7" customFormat="1" ht="15" customHeight="1" x14ac:dyDescent="0.2">
      <c r="B8" s="11" t="s">
        <v>45</v>
      </c>
      <c r="C8" s="27">
        <f>Aggregate!G35</f>
        <v>0</v>
      </c>
      <c r="D8" s="28">
        <f>'Crusher Engine'!H21</f>
        <v>0</v>
      </c>
      <c r="E8" s="29">
        <f>Generator!H21</f>
        <v>0</v>
      </c>
      <c r="F8" s="29">
        <f>Fugitive!I65</f>
        <v>0</v>
      </c>
      <c r="G8" s="30">
        <f t="shared" ref="G8:G15" si="0">SUM(C8:F8)</f>
        <v>0</v>
      </c>
      <c r="H8" s="31">
        <v>100</v>
      </c>
    </row>
    <row r="9" spans="2:8" s="7" customFormat="1" ht="15" customHeight="1" x14ac:dyDescent="0.2">
      <c r="B9" s="11" t="s">
        <v>46</v>
      </c>
      <c r="C9" s="27">
        <f>Aggregate!I35</f>
        <v>0</v>
      </c>
      <c r="D9" s="28">
        <f>'Crusher Engine'!H22</f>
        <v>0</v>
      </c>
      <c r="E9" s="29">
        <f>Generator!H22</f>
        <v>0</v>
      </c>
      <c r="F9" s="29">
        <f>Fugitive!I66</f>
        <v>0</v>
      </c>
      <c r="G9" s="32">
        <f t="shared" si="0"/>
        <v>0</v>
      </c>
      <c r="H9" s="33">
        <v>25</v>
      </c>
    </row>
    <row r="10" spans="2:8" s="7" customFormat="1" ht="15" customHeight="1" x14ac:dyDescent="0.2">
      <c r="B10" s="11" t="s">
        <v>84</v>
      </c>
      <c r="C10" s="27">
        <f>Aggregate!K35</f>
        <v>0</v>
      </c>
      <c r="D10" s="28">
        <f>'Crusher Engine'!H23</f>
        <v>0</v>
      </c>
      <c r="E10" s="29">
        <f>Generator!H23</f>
        <v>0</v>
      </c>
      <c r="F10" s="29">
        <f>Fugitive!I67</f>
        <v>0</v>
      </c>
      <c r="G10" s="32">
        <f t="shared" si="0"/>
        <v>0</v>
      </c>
      <c r="H10" s="31">
        <v>100</v>
      </c>
    </row>
    <row r="11" spans="2:8" s="7" customFormat="1" ht="15" customHeight="1" x14ac:dyDescent="0.2">
      <c r="B11" s="11" t="s">
        <v>47</v>
      </c>
      <c r="C11" s="27"/>
      <c r="D11" s="28">
        <f>'Crusher Engine'!H24</f>
        <v>0</v>
      </c>
      <c r="E11" s="29">
        <f>Generator!H24</f>
        <v>0</v>
      </c>
      <c r="F11" s="29"/>
      <c r="G11" s="32">
        <f t="shared" si="0"/>
        <v>0</v>
      </c>
      <c r="H11" s="33">
        <v>50</v>
      </c>
    </row>
    <row r="12" spans="2:8" s="7" customFormat="1" ht="15" customHeight="1" x14ac:dyDescent="0.2">
      <c r="B12" s="11" t="s">
        <v>48</v>
      </c>
      <c r="C12" s="27"/>
      <c r="D12" s="28">
        <f>'Crusher Engine'!H25</f>
        <v>0</v>
      </c>
      <c r="E12" s="29">
        <f>Generator!H25</f>
        <v>0</v>
      </c>
      <c r="F12" s="29"/>
      <c r="G12" s="32">
        <f t="shared" si="0"/>
        <v>0</v>
      </c>
      <c r="H12" s="33">
        <v>100</v>
      </c>
    </row>
    <row r="13" spans="2:8" s="7" customFormat="1" ht="15" customHeight="1" x14ac:dyDescent="0.2">
      <c r="B13" s="11" t="s">
        <v>49</v>
      </c>
      <c r="C13" s="27"/>
      <c r="D13" s="28">
        <f>'Crusher Engine'!H26</f>
        <v>0</v>
      </c>
      <c r="E13" s="29">
        <f>Generator!H26</f>
        <v>0</v>
      </c>
      <c r="F13" s="29"/>
      <c r="G13" s="32">
        <f t="shared" si="0"/>
        <v>0</v>
      </c>
      <c r="H13" s="33">
        <v>100</v>
      </c>
    </row>
    <row r="14" spans="2:8" s="7" customFormat="1" ht="15" customHeight="1" x14ac:dyDescent="0.2">
      <c r="B14" s="11" t="s">
        <v>50</v>
      </c>
      <c r="C14" s="27"/>
      <c r="D14" s="28">
        <f>'Crusher Engine'!H27</f>
        <v>0</v>
      </c>
      <c r="E14" s="29">
        <f>Generator!H27</f>
        <v>0</v>
      </c>
      <c r="F14" s="29"/>
      <c r="G14" s="32">
        <f t="shared" si="0"/>
        <v>0</v>
      </c>
      <c r="H14" s="33">
        <v>100</v>
      </c>
    </row>
    <row r="15" spans="2:8" s="7" customFormat="1" ht="15" customHeight="1" thickBot="1" x14ac:dyDescent="0.25">
      <c r="B15" s="12" t="s">
        <v>51</v>
      </c>
      <c r="C15" s="34"/>
      <c r="D15" s="28">
        <f>'Crusher Engine'!H28</f>
        <v>0</v>
      </c>
      <c r="E15" s="29">
        <f>Generator!H28</f>
        <v>0</v>
      </c>
      <c r="F15" s="29"/>
      <c r="G15" s="32">
        <f t="shared" si="0"/>
        <v>0</v>
      </c>
      <c r="H15" s="35">
        <v>0.5</v>
      </c>
    </row>
    <row r="16" spans="2:8" s="7" customFormat="1" ht="15" customHeight="1" x14ac:dyDescent="0.2">
      <c r="B16" s="73" t="s">
        <v>349</v>
      </c>
      <c r="C16" s="36"/>
      <c r="D16" s="37"/>
      <c r="E16" s="37"/>
      <c r="F16" s="37"/>
      <c r="G16" s="38"/>
      <c r="H16" s="39"/>
    </row>
    <row r="17" spans="2:8" s="7" customFormat="1" ht="15" customHeight="1" x14ac:dyDescent="0.3">
      <c r="B17" s="13" t="s">
        <v>350</v>
      </c>
      <c r="C17" s="27"/>
      <c r="D17" s="28">
        <f>'Crusher Engine'!H30</f>
        <v>0</v>
      </c>
      <c r="E17" s="29">
        <f>Generator!H30</f>
        <v>0</v>
      </c>
      <c r="F17" s="29"/>
      <c r="G17" s="30">
        <f>SUM(C17:F17)</f>
        <v>0</v>
      </c>
      <c r="H17" s="40"/>
    </row>
    <row r="18" spans="2:8" s="7" customFormat="1" ht="15" customHeight="1" x14ac:dyDescent="0.3">
      <c r="B18" s="13" t="s">
        <v>351</v>
      </c>
      <c r="C18" s="27"/>
      <c r="D18" s="28">
        <f>'Crusher Engine'!H31</f>
        <v>0</v>
      </c>
      <c r="E18" s="29">
        <f>Generator!H31</f>
        <v>0</v>
      </c>
      <c r="F18" s="29"/>
      <c r="G18" s="41">
        <f>SUM(C18:F18)</f>
        <v>0</v>
      </c>
      <c r="H18" s="42"/>
    </row>
    <row r="19" spans="2:8" s="7" customFormat="1" ht="15" customHeight="1" x14ac:dyDescent="0.3">
      <c r="B19" s="13" t="s">
        <v>352</v>
      </c>
      <c r="C19" s="27"/>
      <c r="D19" s="28">
        <f>'Crusher Engine'!H32</f>
        <v>0</v>
      </c>
      <c r="E19" s="29">
        <f>Generator!H32</f>
        <v>0</v>
      </c>
      <c r="F19" s="29"/>
      <c r="G19" s="41">
        <f>SUM(C19:F19)</f>
        <v>0</v>
      </c>
      <c r="H19" s="43"/>
    </row>
    <row r="20" spans="2:8" s="7" customFormat="1" ht="15" customHeight="1" thickBot="1" x14ac:dyDescent="0.35">
      <c r="B20" s="44" t="s">
        <v>353</v>
      </c>
      <c r="C20" s="45"/>
      <c r="D20" s="45"/>
      <c r="E20" s="45"/>
      <c r="F20" s="45"/>
      <c r="G20" s="32">
        <f>(G17*1)+(G18*25)+(G19*298)</f>
        <v>0</v>
      </c>
      <c r="H20" s="46">
        <v>100000</v>
      </c>
    </row>
    <row r="21" spans="2:8" s="7" customFormat="1" ht="15" customHeight="1" x14ac:dyDescent="0.2">
      <c r="B21" s="73" t="s">
        <v>59</v>
      </c>
      <c r="C21" s="36"/>
      <c r="D21" s="37"/>
      <c r="E21" s="48"/>
      <c r="F21" s="48"/>
      <c r="G21" s="38"/>
      <c r="H21" s="49"/>
    </row>
    <row r="22" spans="2:8" s="7" customFormat="1" ht="15" customHeight="1" x14ac:dyDescent="0.2">
      <c r="B22" s="50" t="s">
        <v>136</v>
      </c>
      <c r="C22" s="51"/>
      <c r="D22" s="527">
        <f>'Crusher Engine'!H35</f>
        <v>0</v>
      </c>
      <c r="E22" s="527">
        <f>Generator!H35</f>
        <v>0</v>
      </c>
      <c r="F22" s="52"/>
      <c r="G22" s="53">
        <f t="shared" ref="G22:G35" si="1">SUM(C22:F22)</f>
        <v>0</v>
      </c>
      <c r="H22" s="54"/>
    </row>
    <row r="23" spans="2:8" s="7" customFormat="1" ht="15" customHeight="1" x14ac:dyDescent="0.2">
      <c r="B23" s="55" t="s">
        <v>137</v>
      </c>
      <c r="C23" s="56"/>
      <c r="D23" s="528">
        <f>'Crusher Engine'!H36</f>
        <v>0</v>
      </c>
      <c r="E23" s="528">
        <f>Generator!H36</f>
        <v>0</v>
      </c>
      <c r="F23" s="57"/>
      <c r="G23" s="53">
        <f t="shared" si="1"/>
        <v>0</v>
      </c>
      <c r="H23" s="58"/>
    </row>
    <row r="24" spans="2:8" s="7" customFormat="1" ht="15" customHeight="1" x14ac:dyDescent="0.2">
      <c r="B24" s="55" t="s">
        <v>138</v>
      </c>
      <c r="C24" s="56"/>
      <c r="D24" s="528">
        <f>'Crusher Engine'!H37</f>
        <v>0</v>
      </c>
      <c r="E24" s="528">
        <f>Generator!H37</f>
        <v>0</v>
      </c>
      <c r="F24" s="57"/>
      <c r="G24" s="53">
        <f t="shared" si="1"/>
        <v>0</v>
      </c>
      <c r="H24" s="58"/>
    </row>
    <row r="25" spans="2:8" s="7" customFormat="1" ht="15" customHeight="1" x14ac:dyDescent="0.2">
      <c r="B25" s="55" t="s">
        <v>139</v>
      </c>
      <c r="C25" s="56"/>
      <c r="D25" s="528">
        <f>'Crusher Engine'!H38</f>
        <v>0</v>
      </c>
      <c r="E25" s="528">
        <f>Generator!H38</f>
        <v>0</v>
      </c>
      <c r="F25" s="57"/>
      <c r="G25" s="53">
        <f t="shared" si="1"/>
        <v>0</v>
      </c>
      <c r="H25" s="58"/>
    </row>
    <row r="26" spans="2:8" s="7" customFormat="1" ht="15" customHeight="1" x14ac:dyDescent="0.2">
      <c r="B26" s="59" t="s">
        <v>140</v>
      </c>
      <c r="C26" s="60"/>
      <c r="D26" s="529">
        <f>'Crusher Engine'!H39</f>
        <v>0</v>
      </c>
      <c r="E26" s="529">
        <f>Generator!H39</f>
        <v>0</v>
      </c>
      <c r="F26" s="61"/>
      <c r="G26" s="53">
        <f t="shared" si="1"/>
        <v>0</v>
      </c>
      <c r="H26" s="58"/>
    </row>
    <row r="27" spans="2:8" s="7" customFormat="1" ht="15" customHeight="1" x14ac:dyDescent="0.2">
      <c r="B27" s="62" t="s">
        <v>141</v>
      </c>
      <c r="C27" s="63"/>
      <c r="D27" s="530">
        <f>'Crusher Engine'!H40</f>
        <v>0</v>
      </c>
      <c r="E27" s="530">
        <f>Generator!H40</f>
        <v>0</v>
      </c>
      <c r="F27" s="64"/>
      <c r="G27" s="53">
        <f t="shared" si="1"/>
        <v>0</v>
      </c>
      <c r="H27" s="58"/>
    </row>
    <row r="28" spans="2:8" s="7" customFormat="1" ht="15" customHeight="1" x14ac:dyDescent="0.2">
      <c r="B28" s="55" t="s">
        <v>52</v>
      </c>
      <c r="C28" s="56"/>
      <c r="D28" s="528">
        <f>'Crusher Engine'!H41</f>
        <v>0</v>
      </c>
      <c r="E28" s="528">
        <f>Generator!H41</f>
        <v>0</v>
      </c>
      <c r="F28" s="57"/>
      <c r="G28" s="53">
        <f t="shared" si="1"/>
        <v>0</v>
      </c>
      <c r="H28" s="58"/>
    </row>
    <row r="29" spans="2:8" s="7" customFormat="1" ht="15" customHeight="1" x14ac:dyDescent="0.2">
      <c r="B29" s="55" t="s">
        <v>142</v>
      </c>
      <c r="C29" s="56"/>
      <c r="D29" s="528">
        <f>'Crusher Engine'!H42</f>
        <v>0</v>
      </c>
      <c r="E29" s="528">
        <f>Generator!H42</f>
        <v>0</v>
      </c>
      <c r="F29" s="57"/>
      <c r="G29" s="53">
        <f t="shared" si="1"/>
        <v>0</v>
      </c>
      <c r="H29" s="58"/>
    </row>
    <row r="30" spans="2:8" s="7" customFormat="1" ht="15" customHeight="1" x14ac:dyDescent="0.2">
      <c r="B30" s="55" t="s">
        <v>143</v>
      </c>
      <c r="C30" s="56"/>
      <c r="D30" s="528">
        <f>'Crusher Engine'!H43</f>
        <v>0</v>
      </c>
      <c r="E30" s="528">
        <f>Generator!H43</f>
        <v>0</v>
      </c>
      <c r="F30" s="57"/>
      <c r="G30" s="53">
        <f t="shared" si="1"/>
        <v>0</v>
      </c>
      <c r="H30" s="58"/>
    </row>
    <row r="31" spans="2:8" s="7" customFormat="1" ht="15" customHeight="1" x14ac:dyDescent="0.2">
      <c r="B31" s="59" t="s">
        <v>144</v>
      </c>
      <c r="C31" s="60"/>
      <c r="D31" s="529">
        <f>'Crusher Engine'!H44</f>
        <v>0</v>
      </c>
      <c r="E31" s="529">
        <f>Generator!H44</f>
        <v>0</v>
      </c>
      <c r="F31" s="61"/>
      <c r="G31" s="53">
        <f t="shared" si="1"/>
        <v>0</v>
      </c>
      <c r="H31" s="58"/>
    </row>
    <row r="32" spans="2:8" s="7" customFormat="1" ht="15" customHeight="1" x14ac:dyDescent="0.2">
      <c r="B32" s="62" t="s">
        <v>145</v>
      </c>
      <c r="C32" s="63"/>
      <c r="D32" s="530">
        <f>'Crusher Engine'!H45</f>
        <v>0</v>
      </c>
      <c r="E32" s="530">
        <f>Generator!H45</f>
        <v>0</v>
      </c>
      <c r="F32" s="64"/>
      <c r="G32" s="53">
        <f t="shared" si="1"/>
        <v>0</v>
      </c>
      <c r="H32" s="58"/>
    </row>
    <row r="33" spans="2:8" s="7" customFormat="1" ht="15" customHeight="1" x14ac:dyDescent="0.2">
      <c r="B33" s="55" t="s">
        <v>146</v>
      </c>
      <c r="C33" s="56"/>
      <c r="D33" s="528">
        <f>'Crusher Engine'!H46</f>
        <v>0</v>
      </c>
      <c r="E33" s="528">
        <f>Generator!H46</f>
        <v>0</v>
      </c>
      <c r="F33" s="57"/>
      <c r="G33" s="53">
        <f t="shared" si="1"/>
        <v>0</v>
      </c>
      <c r="H33" s="58"/>
    </row>
    <row r="34" spans="2:8" s="7" customFormat="1" ht="15" customHeight="1" x14ac:dyDescent="0.2">
      <c r="B34" s="55" t="s">
        <v>147</v>
      </c>
      <c r="C34" s="56"/>
      <c r="D34" s="528">
        <f>'Crusher Engine'!H47</f>
        <v>0</v>
      </c>
      <c r="E34" s="528">
        <f>Generator!H47</f>
        <v>0</v>
      </c>
      <c r="F34" s="57"/>
      <c r="G34" s="53">
        <f t="shared" si="1"/>
        <v>0</v>
      </c>
      <c r="H34" s="58"/>
    </row>
    <row r="35" spans="2:8" s="7" customFormat="1" ht="15" customHeight="1" x14ac:dyDescent="0.2">
      <c r="B35" s="55" t="s">
        <v>53</v>
      </c>
      <c r="C35" s="56"/>
      <c r="D35" s="528">
        <f>'Crusher Engine'!H48</f>
        <v>0</v>
      </c>
      <c r="E35" s="528">
        <f>Generator!H48</f>
        <v>0</v>
      </c>
      <c r="F35" s="57"/>
      <c r="G35" s="53">
        <f t="shared" si="1"/>
        <v>0</v>
      </c>
      <c r="H35" s="58"/>
    </row>
    <row r="36" spans="2:8" s="7" customFormat="1" ht="15" customHeight="1" x14ac:dyDescent="0.2">
      <c r="B36" s="59" t="s">
        <v>54</v>
      </c>
      <c r="C36" s="60"/>
      <c r="D36" s="529">
        <f>'Crusher Engine'!H49</f>
        <v>0</v>
      </c>
      <c r="E36" s="529">
        <f>Generator!H49</f>
        <v>0</v>
      </c>
      <c r="F36" s="61"/>
      <c r="G36" s="53">
        <f t="shared" ref="G36:G46" si="2">SUM(C36:F36)</f>
        <v>0</v>
      </c>
      <c r="H36" s="58"/>
    </row>
    <row r="37" spans="2:8" s="7" customFormat="1" ht="15" customHeight="1" x14ac:dyDescent="0.2">
      <c r="B37" s="62" t="s">
        <v>148</v>
      </c>
      <c r="C37" s="63"/>
      <c r="D37" s="530">
        <f>'Crusher Engine'!H50</f>
        <v>0</v>
      </c>
      <c r="E37" s="530">
        <f>Generator!H50</f>
        <v>0</v>
      </c>
      <c r="F37" s="64"/>
      <c r="G37" s="41">
        <f t="shared" si="2"/>
        <v>0</v>
      </c>
      <c r="H37" s="58"/>
    </row>
    <row r="38" spans="2:8" s="7" customFormat="1" ht="15" customHeight="1" x14ac:dyDescent="0.2">
      <c r="B38" s="55" t="s">
        <v>149</v>
      </c>
      <c r="C38" s="56"/>
      <c r="D38" s="528">
        <f>'Crusher Engine'!H51</f>
        <v>0</v>
      </c>
      <c r="E38" s="528">
        <f>Generator!H51</f>
        <v>0</v>
      </c>
      <c r="F38" s="57"/>
      <c r="G38" s="41">
        <f t="shared" si="2"/>
        <v>0</v>
      </c>
      <c r="H38" s="58"/>
    </row>
    <row r="39" spans="2:8" s="7" customFormat="1" ht="15" customHeight="1" x14ac:dyDescent="0.2">
      <c r="B39" s="55" t="s">
        <v>55</v>
      </c>
      <c r="C39" s="56"/>
      <c r="D39" s="528">
        <f>'Crusher Engine'!H52</f>
        <v>0</v>
      </c>
      <c r="E39" s="528">
        <f>Generator!H52</f>
        <v>0</v>
      </c>
      <c r="F39" s="57"/>
      <c r="G39" s="41">
        <f t="shared" si="2"/>
        <v>0</v>
      </c>
      <c r="H39" s="58"/>
    </row>
    <row r="40" spans="2:8" s="7" customFormat="1" ht="15" customHeight="1" x14ac:dyDescent="0.2">
      <c r="B40" s="55" t="s">
        <v>150</v>
      </c>
      <c r="C40" s="56"/>
      <c r="D40" s="528">
        <f>'Crusher Engine'!H53</f>
        <v>0</v>
      </c>
      <c r="E40" s="528">
        <f>Generator!H53</f>
        <v>0</v>
      </c>
      <c r="F40" s="57"/>
      <c r="G40" s="41">
        <f t="shared" si="2"/>
        <v>0</v>
      </c>
      <c r="H40" s="58"/>
    </row>
    <row r="41" spans="2:8" s="7" customFormat="1" ht="15" customHeight="1" x14ac:dyDescent="0.2">
      <c r="B41" s="59" t="s">
        <v>151</v>
      </c>
      <c r="C41" s="60"/>
      <c r="D41" s="529">
        <f>'Crusher Engine'!H54</f>
        <v>0</v>
      </c>
      <c r="E41" s="529">
        <f>Generator!H54</f>
        <v>0</v>
      </c>
      <c r="F41" s="61"/>
      <c r="G41" s="41">
        <f t="shared" si="2"/>
        <v>0</v>
      </c>
      <c r="H41" s="58"/>
    </row>
    <row r="42" spans="2:8" s="7" customFormat="1" ht="15" customHeight="1" x14ac:dyDescent="0.2">
      <c r="B42" s="11" t="s">
        <v>152</v>
      </c>
      <c r="C42" s="27"/>
      <c r="D42" s="27">
        <f>'Crusher Engine'!H55</f>
        <v>0</v>
      </c>
      <c r="E42" s="27">
        <f>Generator!H55</f>
        <v>0</v>
      </c>
      <c r="F42" s="532"/>
      <c r="G42" s="41">
        <f t="shared" si="2"/>
        <v>0</v>
      </c>
      <c r="H42" s="58"/>
    </row>
    <row r="43" spans="2:8" s="7" customFormat="1" ht="15" customHeight="1" x14ac:dyDescent="0.2">
      <c r="B43" s="11" t="s">
        <v>153</v>
      </c>
      <c r="C43" s="27"/>
      <c r="D43" s="27">
        <f>'Crusher Engine'!H56</f>
        <v>0</v>
      </c>
      <c r="E43" s="27">
        <f>Generator!H56</f>
        <v>0</v>
      </c>
      <c r="F43" s="532"/>
      <c r="G43" s="41">
        <f t="shared" si="2"/>
        <v>0</v>
      </c>
      <c r="H43" s="58"/>
    </row>
    <row r="44" spans="2:8" s="7" customFormat="1" ht="15" customHeight="1" x14ac:dyDescent="0.2">
      <c r="B44" s="11" t="s">
        <v>56</v>
      </c>
      <c r="C44" s="27"/>
      <c r="D44" s="27">
        <f>'Crusher Engine'!H57</f>
        <v>0</v>
      </c>
      <c r="E44" s="27">
        <f>Generator!H57</f>
        <v>0</v>
      </c>
      <c r="F44" s="532"/>
      <c r="G44" s="41">
        <f t="shared" si="2"/>
        <v>0</v>
      </c>
      <c r="H44" s="58"/>
    </row>
    <row r="45" spans="2:8" s="7" customFormat="1" ht="15" customHeight="1" x14ac:dyDescent="0.2">
      <c r="B45" s="11" t="s">
        <v>154</v>
      </c>
      <c r="C45" s="27"/>
      <c r="D45" s="27">
        <f>'Crusher Engine'!H58</f>
        <v>0</v>
      </c>
      <c r="E45" s="27">
        <f>Generator!H58</f>
        <v>0</v>
      </c>
      <c r="F45" s="27"/>
      <c r="G45" s="41">
        <f t="shared" si="2"/>
        <v>0</v>
      </c>
      <c r="H45" s="58"/>
    </row>
    <row r="46" spans="2:8" s="7" customFormat="1" ht="15" customHeight="1" x14ac:dyDescent="0.2">
      <c r="B46" s="11" t="s">
        <v>155</v>
      </c>
      <c r="C46" s="27"/>
      <c r="D46" s="531">
        <f>'Crusher Engine'!H59</f>
        <v>0</v>
      </c>
      <c r="E46" s="531">
        <f>Generator!H59</f>
        <v>0</v>
      </c>
      <c r="F46" s="27"/>
      <c r="G46" s="41">
        <f t="shared" si="2"/>
        <v>0</v>
      </c>
      <c r="H46" s="58"/>
    </row>
    <row r="47" spans="2:8" s="7" customFormat="1" ht="15" customHeight="1" x14ac:dyDescent="0.2">
      <c r="B47" s="65" t="s">
        <v>64</v>
      </c>
      <c r="C47" s="731" t="str">
        <f>IF(G47=G22,B22,IF(G47=G23,B23,IF(G47=G24,B24,IF(G47=G25,B25,IF(G47=G26,B26,IF(G47=G27,B27,IF(G47=G28,B28,IF(G47=G29,B29,IF(G47=G30,B30,IF(G47=G31,B31,IF(G47=G32,B32,IF(G47=G33,B33,IF(G47=G34,B34,IF(G47=G35,B35,IF(G47=G36,B36,IF(G47=G37,B37,IF(G47=G38,B38,IF(G47=G39,B39,IF(G47=G40,B40,IF(G47=G41,B41,IF(G47=G42,B42,IF(G47=G43,B43,IF(G47=G44,B44,IF(G47=G45,B45,IF(G47=G46,B46)))))))))))))))))))))))))</f>
        <v>1,1,2,2-tetrachloroethane</v>
      </c>
      <c r="D47" s="731"/>
      <c r="E47" s="68"/>
      <c r="F47" s="67"/>
      <c r="G47" s="41">
        <f>MAX(G22:G46)</f>
        <v>0</v>
      </c>
      <c r="H47" s="69">
        <v>10</v>
      </c>
    </row>
    <row r="48" spans="2:8" s="7" customFormat="1" ht="15" customHeight="1" thickBot="1" x14ac:dyDescent="0.25">
      <c r="B48" s="70" t="s">
        <v>57</v>
      </c>
      <c r="C48" s="34"/>
      <c r="D48" s="34"/>
      <c r="E48" s="34"/>
      <c r="F48" s="34"/>
      <c r="G48" s="71">
        <f>SUM(G22:G46)</f>
        <v>0</v>
      </c>
      <c r="H48" s="72">
        <v>25</v>
      </c>
    </row>
    <row r="49" s="7" customFormat="1" ht="12.75" x14ac:dyDescent="0.2"/>
    <row r="50" s="7" customFormat="1" ht="12.75" x14ac:dyDescent="0.2"/>
    <row r="51" s="7" customFormat="1" ht="12.75" x14ac:dyDescent="0.2"/>
    <row r="52" s="7" customFormat="1" ht="12.75" x14ac:dyDescent="0.2"/>
    <row r="53" s="7" customFormat="1" ht="12.75" x14ac:dyDescent="0.2"/>
    <row r="54" s="7" customFormat="1" ht="12.75" x14ac:dyDescent="0.2"/>
  </sheetData>
  <mergeCells count="11">
    <mergeCell ref="C47:D47"/>
    <mergeCell ref="B1:H1"/>
    <mergeCell ref="B2:H2"/>
    <mergeCell ref="B3:H3"/>
    <mergeCell ref="C4:C5"/>
    <mergeCell ref="D4:D5"/>
    <mergeCell ref="E4:E5"/>
    <mergeCell ref="F4:F5"/>
    <mergeCell ref="G4:G5"/>
    <mergeCell ref="H4:H5"/>
    <mergeCell ref="B4:B6"/>
  </mergeCells>
  <conditionalFormatting sqref="B3:H3">
    <cfRule type="containsText" dxfId="27" priority="14" operator="containsText" text="permit is required">
      <formula>NOT(ISERROR(SEARCH("permit is required",B3)))</formula>
    </cfRule>
  </conditionalFormatting>
  <conditionalFormatting sqref="C47">
    <cfRule type="cellIs" dxfId="26" priority="15" operator="equal">
      <formula>0</formula>
    </cfRule>
  </conditionalFormatting>
  <conditionalFormatting sqref="C8:F46">
    <cfRule type="cellIs" dxfId="25" priority="1" operator="equal">
      <formula>0</formula>
    </cfRule>
  </conditionalFormatting>
  <conditionalFormatting sqref="D7">
    <cfRule type="expression" dxfId="24" priority="72">
      <formula>SUM($E$8:$E$46)=0</formula>
    </cfRule>
  </conditionalFormatting>
  <conditionalFormatting sqref="D7:E7">
    <cfRule type="expression" dxfId="23" priority="23">
      <formula>D8=0</formula>
    </cfRule>
    <cfRule type="containsText" dxfId="22" priority="52" operator="containsText" text="Insignificant Activity">
      <formula>NOT(ISERROR(SEARCH("Insignificant Activity",D7)))</formula>
    </cfRule>
  </conditionalFormatting>
  <conditionalFormatting sqref="E7">
    <cfRule type="expression" dxfId="21" priority="73">
      <formula>SUM(F8:F46)=0</formula>
    </cfRule>
    <cfRule type="expression" dxfId="20" priority="74">
      <formula>SUM($F$8:$F$46)=0</formula>
    </cfRule>
  </conditionalFormatting>
  <pageMargins left="0.25" right="0.25" top="0.75" bottom="0.75" header="0.3" footer="0.3"/>
  <pageSetup fitToHeight="0" orientation="landscape" verticalDpi="1200" r:id="rId1"/>
  <headerFooter>
    <oddFooter>&amp;L&amp;"Arial,Italic"&amp;8p-sbap5-30&amp;C&amp;"Arial,Italic"&amp;8https://www.pca.state.mn.us  •  Available in alternative formats  •  Use your preferred relay service&amp;R&amp;10Page &amp;P of &amp;N</oddFooter>
    <firstFooter>&amp;L&amp;10Grain and Commodity Calculator - Instructions&amp;R&amp;10&amp;P</firstFooter>
  </headerFooter>
  <rowBreaks count="1" manualBreakCount="1">
    <brk id="34" min="1" max="7" man="1"/>
  </rowBreaks>
  <extLst>
    <ext xmlns:x14="http://schemas.microsoft.com/office/spreadsheetml/2009/9/main" uri="{78C0D931-6437-407d-A8EE-F0AAD7539E65}">
      <x14:conditionalFormattings>
        <x14:conditionalFormatting xmlns:xm="http://schemas.microsoft.com/office/excel/2006/main">
          <x14:cfRule type="iconSet" priority="39" id="{1D1B3EF6-249A-4545-9037-8FF49640E71F}">
            <x14:iconSet iconSet="3Flags" custom="1">
              <x14:cfvo type="percent">
                <xm:f>0</xm:f>
              </x14:cfvo>
              <x14:cfvo type="num">
                <xm:f>0</xm:f>
              </x14:cfvo>
              <x14:cfvo type="num">
                <xm:f>100</xm:f>
              </x14:cfvo>
              <x14:cfIcon iconSet="NoIcons" iconId="0"/>
              <x14:cfIcon iconSet="NoIcons" iconId="0"/>
              <x14:cfIcon iconSet="3Flags" iconId="1"/>
            </x14:iconSet>
          </x14:cfRule>
          <xm:sqref>G8 G10 G12:G14</xm:sqref>
        </x14:conditionalFormatting>
        <x14:conditionalFormatting xmlns:xm="http://schemas.microsoft.com/office/excel/2006/main">
          <x14:cfRule type="iconSet" priority="38" id="{AB1892F4-7F51-40EC-9192-3EA46EF715CE}">
            <x14:iconSet iconSet="3Flags" custom="1">
              <x14:cfvo type="percent">
                <xm:f>0</xm:f>
              </x14:cfvo>
              <x14:cfvo type="num">
                <xm:f>0</xm:f>
              </x14:cfvo>
              <x14:cfvo type="num">
                <xm:f>25</xm:f>
              </x14:cfvo>
              <x14:cfIcon iconSet="NoIcons" iconId="0"/>
              <x14:cfIcon iconSet="NoIcons" iconId="0"/>
              <x14:cfIcon iconSet="3Flags" iconId="1"/>
            </x14:iconSet>
          </x14:cfRule>
          <xm:sqref>G9</xm:sqref>
        </x14:conditionalFormatting>
        <x14:conditionalFormatting xmlns:xm="http://schemas.microsoft.com/office/excel/2006/main">
          <x14:cfRule type="iconSet" priority="37" id="{6532E946-4322-4B62-BEBB-32A1CCFD446A}">
            <x14:iconSet iconSet="3Flags" custom="1">
              <x14:cfvo type="percent">
                <xm:f>0</xm:f>
              </x14:cfvo>
              <x14:cfvo type="num">
                <xm:f>0</xm:f>
              </x14:cfvo>
              <x14:cfvo type="num">
                <xm:f>50</xm:f>
              </x14:cfvo>
              <x14:cfIcon iconSet="NoIcons" iconId="0"/>
              <x14:cfIcon iconSet="NoIcons" iconId="0"/>
              <x14:cfIcon iconSet="3Flags" iconId="1"/>
            </x14:iconSet>
          </x14:cfRule>
          <xm:sqref>G11</xm:sqref>
        </x14:conditionalFormatting>
        <x14:conditionalFormatting xmlns:xm="http://schemas.microsoft.com/office/excel/2006/main">
          <x14:cfRule type="iconSet" priority="36" id="{2B385801-F58C-48C4-BFAA-1870786588A3}">
            <x14:iconSet iconSet="3Flags" custom="1">
              <x14:cfvo type="percent">
                <xm:f>0</xm:f>
              </x14:cfvo>
              <x14:cfvo type="num">
                <xm:f>0</xm:f>
              </x14:cfvo>
              <x14:cfvo type="num">
                <xm:f>0.5</xm:f>
              </x14:cfvo>
              <x14:cfIcon iconSet="NoIcons" iconId="0"/>
              <x14:cfIcon iconSet="NoIcons" iconId="0"/>
              <x14:cfIcon iconSet="3Flags" iconId="1"/>
            </x14:iconSet>
          </x14:cfRule>
          <xm:sqref>G15</xm:sqref>
        </x14:conditionalFormatting>
        <x14:conditionalFormatting xmlns:xm="http://schemas.microsoft.com/office/excel/2006/main">
          <x14:cfRule type="iconSet" priority="35" id="{187FB2AF-7317-4827-8732-A4DF2970E0F8}">
            <x14:iconSet iconSet="3Flags" custom="1">
              <x14:cfvo type="percent">
                <xm:f>0</xm:f>
              </x14:cfvo>
              <x14:cfvo type="num">
                <xm:f>0</xm:f>
              </x14:cfvo>
              <x14:cfvo type="num">
                <xm:f>100000</xm:f>
              </x14:cfvo>
              <x14:cfIcon iconSet="NoIcons" iconId="0"/>
              <x14:cfIcon iconSet="NoIcons" iconId="0"/>
              <x14:cfIcon iconSet="3Flags" iconId="1"/>
            </x14:iconSet>
          </x14:cfRule>
          <xm:sqref>G20</xm:sqref>
        </x14:conditionalFormatting>
        <x14:conditionalFormatting xmlns:xm="http://schemas.microsoft.com/office/excel/2006/main">
          <x14:cfRule type="iconSet" priority="33" id="{DB6A270C-46BB-457C-9DC4-8B2E5981CEC9}">
            <x14:iconSet iconSet="3Flags" custom="1">
              <x14:cfvo type="percent">
                <xm:f>0</xm:f>
              </x14:cfvo>
              <x14:cfvo type="num">
                <xm:f>0</xm:f>
              </x14:cfvo>
              <x14:cfvo type="num">
                <xm:f>10</xm:f>
              </x14:cfvo>
              <x14:cfIcon iconSet="NoIcons" iconId="0"/>
              <x14:cfIcon iconSet="NoIcons" iconId="0"/>
              <x14:cfIcon iconSet="3Flags" iconId="1"/>
            </x14:iconSet>
          </x14:cfRule>
          <xm:sqref>G47</xm:sqref>
        </x14:conditionalFormatting>
        <x14:conditionalFormatting xmlns:xm="http://schemas.microsoft.com/office/excel/2006/main">
          <x14:cfRule type="iconSet" priority="34" id="{B5984E28-C312-4586-9409-65EAC8334988}">
            <x14:iconSet iconSet="3Flags" custom="1">
              <x14:cfvo type="percent">
                <xm:f>0</xm:f>
              </x14:cfvo>
              <x14:cfvo type="num">
                <xm:f>0</xm:f>
              </x14:cfvo>
              <x14:cfvo type="num">
                <xm:f>25</xm:f>
              </x14:cfvo>
              <x14:cfIcon iconSet="NoIcons" iconId="0"/>
              <x14:cfIcon iconSet="NoIcons" iconId="0"/>
              <x14:cfIcon iconSet="3Flags" iconId="1"/>
            </x14:iconSet>
          </x14:cfRule>
          <xm:sqref>G48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rgb="FFEAF8D8"/>
    <pageSetUpPr fitToPage="1"/>
  </sheetPr>
  <dimension ref="B1:H59"/>
  <sheetViews>
    <sheetView showGridLines="0" zoomScaleNormal="100" zoomScaleSheetLayoutView="100" zoomScalePageLayoutView="85" workbookViewId="0">
      <selection activeCell="B1" sqref="B1:H1"/>
    </sheetView>
  </sheetViews>
  <sheetFormatPr defaultColWidth="9.140625" defaultRowHeight="15" x14ac:dyDescent="0.25"/>
  <cols>
    <col min="1" max="1" width="3.28515625" style="2" customWidth="1"/>
    <col min="2" max="2" width="23.7109375" style="2" customWidth="1"/>
    <col min="3" max="8" width="18" style="2" customWidth="1"/>
    <col min="9" max="16384" width="9.140625" style="2"/>
  </cols>
  <sheetData>
    <row r="1" spans="2:8" x14ac:dyDescent="0.25">
      <c r="B1" s="562" t="str">
        <f>Instructions!G2</f>
        <v>p-sbap5-30 • 7/31/25</v>
      </c>
      <c r="C1" s="562"/>
      <c r="D1" s="562"/>
      <c r="E1" s="562"/>
      <c r="F1" s="562"/>
      <c r="G1" s="562"/>
      <c r="H1" s="562"/>
    </row>
    <row r="2" spans="2:8" ht="19.5" thickBot="1" x14ac:dyDescent="0.3">
      <c r="B2" s="732" t="s">
        <v>373</v>
      </c>
      <c r="C2" s="732"/>
      <c r="D2" s="732"/>
      <c r="E2" s="732"/>
      <c r="F2" s="732"/>
      <c r="G2" s="732"/>
      <c r="H2" s="732"/>
    </row>
    <row r="3" spans="2:8" s="7" customFormat="1" ht="15" customHeight="1" thickBot="1" x14ac:dyDescent="0.25">
      <c r="B3" s="733" t="str">
        <f>IF('Data validation'!C25="yes","The flag next to your actual emissions total indicates that your business exceeds the Option D limit and an individual permit is required.","These pollutant totals represent the information you entered into this calculator.")</f>
        <v>These pollutant totals represent the information you entered into this calculator.</v>
      </c>
      <c r="C3" s="733"/>
      <c r="D3" s="733"/>
      <c r="E3" s="733"/>
      <c r="F3" s="733"/>
      <c r="G3" s="733"/>
      <c r="H3" s="733"/>
    </row>
    <row r="4" spans="2:8" s="7" customFormat="1" ht="15" customHeight="1" x14ac:dyDescent="0.2">
      <c r="B4" s="742" t="s">
        <v>38</v>
      </c>
      <c r="C4" s="734" t="s">
        <v>188</v>
      </c>
      <c r="D4" s="736" t="s">
        <v>187</v>
      </c>
      <c r="E4" s="736" t="s">
        <v>186</v>
      </c>
      <c r="F4" s="736" t="s">
        <v>189</v>
      </c>
      <c r="G4" s="738" t="s">
        <v>41</v>
      </c>
      <c r="H4" s="745" t="s">
        <v>63</v>
      </c>
    </row>
    <row r="5" spans="2:8" s="7" customFormat="1" ht="15" customHeight="1" x14ac:dyDescent="0.2">
      <c r="B5" s="743"/>
      <c r="C5" s="735"/>
      <c r="D5" s="737"/>
      <c r="E5" s="737"/>
      <c r="F5" s="737"/>
      <c r="G5" s="739"/>
      <c r="H5" s="746"/>
    </row>
    <row r="6" spans="2:8" s="7" customFormat="1" ht="15" customHeight="1" thickBot="1" x14ac:dyDescent="0.25">
      <c r="B6" s="744"/>
      <c r="C6" s="22" t="s">
        <v>43</v>
      </c>
      <c r="D6" s="74" t="s">
        <v>43</v>
      </c>
      <c r="E6" s="74" t="s">
        <v>43</v>
      </c>
      <c r="F6" s="74" t="s">
        <v>43</v>
      </c>
      <c r="G6" s="74" t="s">
        <v>43</v>
      </c>
      <c r="H6" s="23" t="s">
        <v>43</v>
      </c>
    </row>
    <row r="7" spans="2:8" s="7" customFormat="1" ht="15" customHeight="1" x14ac:dyDescent="0.2">
      <c r="B7" s="73" t="s">
        <v>61</v>
      </c>
      <c r="C7" s="14"/>
      <c r="D7" s="15"/>
      <c r="E7" s="16"/>
      <c r="F7" s="10"/>
      <c r="G7" s="17"/>
      <c r="H7" s="26"/>
    </row>
    <row r="8" spans="2:8" s="7" customFormat="1" ht="15" customHeight="1" x14ac:dyDescent="0.2">
      <c r="B8" s="11" t="s">
        <v>45</v>
      </c>
      <c r="C8" s="27">
        <f>Aggregate!F53</f>
        <v>0</v>
      </c>
      <c r="D8" s="28">
        <f>'Crusher Engine'!I21</f>
        <v>0</v>
      </c>
      <c r="E8" s="29">
        <f>Generator!I21</f>
        <v>0</v>
      </c>
      <c r="F8" s="29">
        <f>Fugitive!I75</f>
        <v>0</v>
      </c>
      <c r="G8" s="30">
        <f t="shared" ref="G8:G15" si="0">SUM(C8:F8)</f>
        <v>0</v>
      </c>
      <c r="H8" s="75">
        <v>50</v>
      </c>
    </row>
    <row r="9" spans="2:8" s="7" customFormat="1" ht="15" customHeight="1" x14ac:dyDescent="0.2">
      <c r="B9" s="11" t="s">
        <v>46</v>
      </c>
      <c r="C9" s="27">
        <f>Aggregate!H53</f>
        <v>0</v>
      </c>
      <c r="D9" s="28">
        <f>'Crusher Engine'!I22</f>
        <v>0</v>
      </c>
      <c r="E9" s="29">
        <f>Generator!I22</f>
        <v>0</v>
      </c>
      <c r="F9" s="29">
        <f>Fugitive!I76</f>
        <v>0</v>
      </c>
      <c r="G9" s="32">
        <f t="shared" si="0"/>
        <v>0</v>
      </c>
      <c r="H9" s="69">
        <v>50</v>
      </c>
    </row>
    <row r="10" spans="2:8" s="7" customFormat="1" ht="15" customHeight="1" x14ac:dyDescent="0.2">
      <c r="B10" s="11" t="s">
        <v>84</v>
      </c>
      <c r="C10" s="27">
        <f>Aggregate!J53</f>
        <v>0</v>
      </c>
      <c r="D10" s="28">
        <f>'Crusher Engine'!I23</f>
        <v>0</v>
      </c>
      <c r="E10" s="29">
        <f>Generator!I23</f>
        <v>0</v>
      </c>
      <c r="F10" s="29">
        <f>Fugitive!I77</f>
        <v>0</v>
      </c>
      <c r="G10" s="32">
        <f t="shared" si="0"/>
        <v>0</v>
      </c>
      <c r="H10" s="69">
        <v>50</v>
      </c>
    </row>
    <row r="11" spans="2:8" s="7" customFormat="1" ht="15" customHeight="1" x14ac:dyDescent="0.2">
      <c r="B11" s="11" t="s">
        <v>47</v>
      </c>
      <c r="C11" s="27"/>
      <c r="D11" s="28">
        <f>'Crusher Engine'!I24</f>
        <v>0</v>
      </c>
      <c r="E11" s="29">
        <f>Generator!I24</f>
        <v>0</v>
      </c>
      <c r="F11" s="29"/>
      <c r="G11" s="32">
        <f t="shared" si="0"/>
        <v>0</v>
      </c>
      <c r="H11" s="69">
        <v>50</v>
      </c>
    </row>
    <row r="12" spans="2:8" s="7" customFormat="1" ht="15" customHeight="1" x14ac:dyDescent="0.2">
      <c r="B12" s="11" t="s">
        <v>48</v>
      </c>
      <c r="C12" s="27"/>
      <c r="D12" s="28">
        <f>'Crusher Engine'!I25</f>
        <v>0</v>
      </c>
      <c r="E12" s="29">
        <f>Generator!I25</f>
        <v>0</v>
      </c>
      <c r="F12" s="29"/>
      <c r="G12" s="32">
        <f t="shared" si="0"/>
        <v>0</v>
      </c>
      <c r="H12" s="69">
        <v>50</v>
      </c>
    </row>
    <row r="13" spans="2:8" s="7" customFormat="1" ht="15" customHeight="1" x14ac:dyDescent="0.2">
      <c r="B13" s="11" t="s">
        <v>49</v>
      </c>
      <c r="C13" s="27"/>
      <c r="D13" s="28">
        <f>'Crusher Engine'!I26</f>
        <v>0</v>
      </c>
      <c r="E13" s="29">
        <f>Generator!I26</f>
        <v>0</v>
      </c>
      <c r="F13" s="29"/>
      <c r="G13" s="32">
        <f t="shared" si="0"/>
        <v>0</v>
      </c>
      <c r="H13" s="69">
        <v>50</v>
      </c>
    </row>
    <row r="14" spans="2:8" s="7" customFormat="1" ht="15" customHeight="1" x14ac:dyDescent="0.2">
      <c r="B14" s="11" t="s">
        <v>50</v>
      </c>
      <c r="C14" s="27"/>
      <c r="D14" s="28">
        <f>'Crusher Engine'!I27</f>
        <v>0</v>
      </c>
      <c r="E14" s="29">
        <f>Generator!I27</f>
        <v>0</v>
      </c>
      <c r="F14" s="29"/>
      <c r="G14" s="32">
        <f t="shared" si="0"/>
        <v>0</v>
      </c>
      <c r="H14" s="69">
        <v>50</v>
      </c>
    </row>
    <row r="15" spans="2:8" s="7" customFormat="1" ht="15" customHeight="1" thickBot="1" x14ac:dyDescent="0.25">
      <c r="B15" s="12" t="s">
        <v>51</v>
      </c>
      <c r="C15" s="34"/>
      <c r="D15" s="28">
        <f>'Crusher Engine'!I28</f>
        <v>0</v>
      </c>
      <c r="E15" s="29">
        <f>Generator!I28</f>
        <v>0</v>
      </c>
      <c r="F15" s="29"/>
      <c r="G15" s="32">
        <f t="shared" si="0"/>
        <v>0</v>
      </c>
      <c r="H15" s="76">
        <v>0.5</v>
      </c>
    </row>
    <row r="16" spans="2:8" s="7" customFormat="1" ht="15" customHeight="1" x14ac:dyDescent="0.2">
      <c r="B16" s="73" t="s">
        <v>349</v>
      </c>
      <c r="C16" s="36"/>
      <c r="D16" s="37"/>
      <c r="E16" s="37"/>
      <c r="F16" s="37"/>
      <c r="G16" s="38"/>
      <c r="H16" s="49"/>
    </row>
    <row r="17" spans="2:8" s="7" customFormat="1" ht="15" customHeight="1" x14ac:dyDescent="0.3">
      <c r="B17" s="13" t="s">
        <v>350</v>
      </c>
      <c r="C17" s="27"/>
      <c r="D17" s="28">
        <f>'Crusher Engine'!I30</f>
        <v>0</v>
      </c>
      <c r="E17" s="29">
        <f>Generator!I30</f>
        <v>0</v>
      </c>
      <c r="F17" s="29"/>
      <c r="G17" s="30">
        <f>SUM(C17:F17)</f>
        <v>0</v>
      </c>
      <c r="H17" s="40"/>
    </row>
    <row r="18" spans="2:8" s="7" customFormat="1" ht="15" customHeight="1" x14ac:dyDescent="0.3">
      <c r="B18" s="13" t="s">
        <v>351</v>
      </c>
      <c r="C18" s="27"/>
      <c r="D18" s="28">
        <f>'Crusher Engine'!I31</f>
        <v>0</v>
      </c>
      <c r="E18" s="29">
        <f>Generator!I31</f>
        <v>0</v>
      </c>
      <c r="F18" s="29"/>
      <c r="G18" s="41">
        <f>SUM(C18:F18)</f>
        <v>0</v>
      </c>
      <c r="H18" s="42"/>
    </row>
    <row r="19" spans="2:8" s="7" customFormat="1" ht="15" customHeight="1" x14ac:dyDescent="0.3">
      <c r="B19" s="13" t="s">
        <v>352</v>
      </c>
      <c r="C19" s="27"/>
      <c r="D19" s="28">
        <f>'Crusher Engine'!I32</f>
        <v>0</v>
      </c>
      <c r="E19" s="29">
        <f>Generator!I32</f>
        <v>0</v>
      </c>
      <c r="F19" s="29"/>
      <c r="G19" s="41">
        <f>SUM(C19:F19)</f>
        <v>0</v>
      </c>
      <c r="H19" s="43"/>
    </row>
    <row r="20" spans="2:8" s="7" customFormat="1" ht="15" customHeight="1" thickBot="1" x14ac:dyDescent="0.35">
      <c r="B20" s="44" t="s">
        <v>353</v>
      </c>
      <c r="C20" s="45"/>
      <c r="D20" s="45"/>
      <c r="E20" s="45"/>
      <c r="F20" s="45"/>
      <c r="G20" s="32">
        <f>(G17*1)+(G18*25)+(G19*298)</f>
        <v>0</v>
      </c>
      <c r="H20" s="47">
        <v>50000</v>
      </c>
    </row>
    <row r="21" spans="2:8" s="7" customFormat="1" ht="15" customHeight="1" x14ac:dyDescent="0.2">
      <c r="B21" s="73" t="s">
        <v>59</v>
      </c>
      <c r="C21" s="36"/>
      <c r="D21" s="37"/>
      <c r="E21" s="48"/>
      <c r="F21" s="48"/>
      <c r="G21" s="38"/>
      <c r="H21" s="49"/>
    </row>
    <row r="22" spans="2:8" s="7" customFormat="1" ht="15" customHeight="1" x14ac:dyDescent="0.2">
      <c r="B22" s="62" t="s">
        <v>136</v>
      </c>
      <c r="C22" s="63"/>
      <c r="D22" s="63">
        <f>'Crusher Engine'!I35</f>
        <v>0</v>
      </c>
      <c r="E22" s="63">
        <f>Generator!I35</f>
        <v>0</v>
      </c>
      <c r="F22" s="64"/>
      <c r="G22" s="53">
        <f t="shared" ref="G22:G46" si="1">SUM(C22:F22)</f>
        <v>0</v>
      </c>
      <c r="H22" s="40"/>
    </row>
    <row r="23" spans="2:8" s="7" customFormat="1" ht="15" customHeight="1" x14ac:dyDescent="0.2">
      <c r="B23" s="55" t="s">
        <v>137</v>
      </c>
      <c r="C23" s="56"/>
      <c r="D23" s="56">
        <f>'Crusher Engine'!I36</f>
        <v>0</v>
      </c>
      <c r="E23" s="56">
        <f>Generator!I36</f>
        <v>0</v>
      </c>
      <c r="F23" s="57"/>
      <c r="G23" s="41">
        <f t="shared" si="1"/>
        <v>0</v>
      </c>
      <c r="H23" s="42"/>
    </row>
    <row r="24" spans="2:8" s="7" customFormat="1" ht="15" customHeight="1" x14ac:dyDescent="0.2">
      <c r="B24" s="55" t="s">
        <v>138</v>
      </c>
      <c r="C24" s="56"/>
      <c r="D24" s="56">
        <f>'Crusher Engine'!I37</f>
        <v>0</v>
      </c>
      <c r="E24" s="56">
        <f>Generator!I37</f>
        <v>0</v>
      </c>
      <c r="F24" s="57"/>
      <c r="G24" s="41">
        <f t="shared" si="1"/>
        <v>0</v>
      </c>
      <c r="H24" s="42"/>
    </row>
    <row r="25" spans="2:8" s="7" customFormat="1" ht="15" customHeight="1" x14ac:dyDescent="0.2">
      <c r="B25" s="55" t="s">
        <v>139</v>
      </c>
      <c r="C25" s="56"/>
      <c r="D25" s="56">
        <f>'Crusher Engine'!I38</f>
        <v>0</v>
      </c>
      <c r="E25" s="56">
        <f>Generator!I38</f>
        <v>0</v>
      </c>
      <c r="F25" s="57"/>
      <c r="G25" s="41">
        <f t="shared" si="1"/>
        <v>0</v>
      </c>
      <c r="H25" s="42"/>
    </row>
    <row r="26" spans="2:8" s="7" customFormat="1" ht="15" customHeight="1" x14ac:dyDescent="0.2">
      <c r="B26" s="59" t="s">
        <v>140</v>
      </c>
      <c r="C26" s="60"/>
      <c r="D26" s="60">
        <f>'Crusher Engine'!I39</f>
        <v>0</v>
      </c>
      <c r="E26" s="60">
        <f>Generator!I39</f>
        <v>0</v>
      </c>
      <c r="F26" s="61"/>
      <c r="G26" s="41">
        <f t="shared" si="1"/>
        <v>0</v>
      </c>
      <c r="H26" s="42"/>
    </row>
    <row r="27" spans="2:8" s="7" customFormat="1" ht="15" customHeight="1" x14ac:dyDescent="0.2">
      <c r="B27" s="62" t="s">
        <v>141</v>
      </c>
      <c r="C27" s="63"/>
      <c r="D27" s="63">
        <f>'Crusher Engine'!I40</f>
        <v>0</v>
      </c>
      <c r="E27" s="63">
        <f>Generator!I40</f>
        <v>0</v>
      </c>
      <c r="F27" s="64"/>
      <c r="G27" s="41">
        <f t="shared" si="1"/>
        <v>0</v>
      </c>
      <c r="H27" s="42"/>
    </row>
    <row r="28" spans="2:8" s="7" customFormat="1" ht="15" customHeight="1" x14ac:dyDescent="0.2">
      <c r="B28" s="55" t="s">
        <v>52</v>
      </c>
      <c r="C28" s="56"/>
      <c r="D28" s="56">
        <f>'Crusher Engine'!I41</f>
        <v>0</v>
      </c>
      <c r="E28" s="56">
        <f>Generator!I41</f>
        <v>0</v>
      </c>
      <c r="F28" s="57"/>
      <c r="G28" s="41">
        <f t="shared" si="1"/>
        <v>0</v>
      </c>
      <c r="H28" s="42"/>
    </row>
    <row r="29" spans="2:8" s="7" customFormat="1" ht="15" customHeight="1" x14ac:dyDescent="0.2">
      <c r="B29" s="55" t="s">
        <v>142</v>
      </c>
      <c r="C29" s="56"/>
      <c r="D29" s="56">
        <f>'Crusher Engine'!I42</f>
        <v>0</v>
      </c>
      <c r="E29" s="56">
        <f>Generator!I42</f>
        <v>0</v>
      </c>
      <c r="F29" s="57"/>
      <c r="G29" s="41">
        <f t="shared" si="1"/>
        <v>0</v>
      </c>
      <c r="H29" s="42"/>
    </row>
    <row r="30" spans="2:8" s="7" customFormat="1" ht="15" customHeight="1" x14ac:dyDescent="0.2">
      <c r="B30" s="55" t="s">
        <v>143</v>
      </c>
      <c r="C30" s="56"/>
      <c r="D30" s="56">
        <f>'Crusher Engine'!I43</f>
        <v>0</v>
      </c>
      <c r="E30" s="56">
        <f>Generator!I43</f>
        <v>0</v>
      </c>
      <c r="F30" s="57"/>
      <c r="G30" s="41">
        <f t="shared" si="1"/>
        <v>0</v>
      </c>
      <c r="H30" s="42"/>
    </row>
    <row r="31" spans="2:8" s="7" customFormat="1" ht="15" customHeight="1" x14ac:dyDescent="0.2">
      <c r="B31" s="59" t="s">
        <v>144</v>
      </c>
      <c r="C31" s="60"/>
      <c r="D31" s="60">
        <f>'Crusher Engine'!I44</f>
        <v>0</v>
      </c>
      <c r="E31" s="60">
        <f>Generator!I44</f>
        <v>0</v>
      </c>
      <c r="F31" s="61"/>
      <c r="G31" s="41">
        <f t="shared" si="1"/>
        <v>0</v>
      </c>
      <c r="H31" s="42"/>
    </row>
    <row r="32" spans="2:8" s="7" customFormat="1" ht="15" customHeight="1" x14ac:dyDescent="0.2">
      <c r="B32" s="62" t="s">
        <v>145</v>
      </c>
      <c r="C32" s="63"/>
      <c r="D32" s="63">
        <f>'Crusher Engine'!I45</f>
        <v>0</v>
      </c>
      <c r="E32" s="63">
        <f>Generator!I45</f>
        <v>0</v>
      </c>
      <c r="F32" s="64"/>
      <c r="G32" s="41">
        <f t="shared" si="1"/>
        <v>0</v>
      </c>
      <c r="H32" s="42"/>
    </row>
    <row r="33" spans="2:8" s="7" customFormat="1" ht="15" customHeight="1" x14ac:dyDescent="0.2">
      <c r="B33" s="55" t="s">
        <v>146</v>
      </c>
      <c r="C33" s="56"/>
      <c r="D33" s="56">
        <f>'Crusher Engine'!I46</f>
        <v>0</v>
      </c>
      <c r="E33" s="56">
        <f>Generator!I46</f>
        <v>0</v>
      </c>
      <c r="F33" s="57"/>
      <c r="G33" s="41">
        <f t="shared" si="1"/>
        <v>0</v>
      </c>
      <c r="H33" s="42"/>
    </row>
    <row r="34" spans="2:8" s="7" customFormat="1" ht="15" customHeight="1" x14ac:dyDescent="0.2">
      <c r="B34" s="55" t="s">
        <v>147</v>
      </c>
      <c r="C34" s="56"/>
      <c r="D34" s="56">
        <f>'Crusher Engine'!I47</f>
        <v>0</v>
      </c>
      <c r="E34" s="56">
        <f>Generator!I47</f>
        <v>0</v>
      </c>
      <c r="F34" s="57"/>
      <c r="G34" s="41">
        <f t="shared" si="1"/>
        <v>0</v>
      </c>
      <c r="H34" s="42"/>
    </row>
    <row r="35" spans="2:8" s="7" customFormat="1" ht="15" customHeight="1" x14ac:dyDescent="0.2">
      <c r="B35" s="55" t="s">
        <v>53</v>
      </c>
      <c r="C35" s="56"/>
      <c r="D35" s="56">
        <f>'Crusher Engine'!I48</f>
        <v>0</v>
      </c>
      <c r="E35" s="56">
        <f>Generator!I48</f>
        <v>0</v>
      </c>
      <c r="F35" s="57"/>
      <c r="G35" s="41">
        <f t="shared" si="1"/>
        <v>0</v>
      </c>
      <c r="H35" s="42"/>
    </row>
    <row r="36" spans="2:8" s="7" customFormat="1" ht="15" customHeight="1" x14ac:dyDescent="0.2">
      <c r="B36" s="59" t="s">
        <v>54</v>
      </c>
      <c r="C36" s="60"/>
      <c r="D36" s="60">
        <f>'Crusher Engine'!I49</f>
        <v>0</v>
      </c>
      <c r="E36" s="60">
        <f>Generator!I49</f>
        <v>0</v>
      </c>
      <c r="F36" s="61"/>
      <c r="G36" s="41">
        <f t="shared" si="1"/>
        <v>0</v>
      </c>
      <c r="H36" s="42"/>
    </row>
    <row r="37" spans="2:8" s="7" customFormat="1" ht="15" customHeight="1" x14ac:dyDescent="0.2">
      <c r="B37" s="62" t="s">
        <v>148</v>
      </c>
      <c r="C37" s="63"/>
      <c r="D37" s="63">
        <f>'Crusher Engine'!I50</f>
        <v>0</v>
      </c>
      <c r="E37" s="63">
        <f>Generator!I50</f>
        <v>0</v>
      </c>
      <c r="F37" s="64"/>
      <c r="G37" s="41">
        <f t="shared" si="1"/>
        <v>0</v>
      </c>
      <c r="H37" s="42"/>
    </row>
    <row r="38" spans="2:8" s="7" customFormat="1" ht="15" customHeight="1" x14ac:dyDescent="0.2">
      <c r="B38" s="55" t="s">
        <v>149</v>
      </c>
      <c r="C38" s="56"/>
      <c r="D38" s="56">
        <f>'Crusher Engine'!I51</f>
        <v>0</v>
      </c>
      <c r="E38" s="56">
        <f>Generator!I51</f>
        <v>0</v>
      </c>
      <c r="F38" s="57"/>
      <c r="G38" s="41">
        <f t="shared" si="1"/>
        <v>0</v>
      </c>
      <c r="H38" s="42"/>
    </row>
    <row r="39" spans="2:8" s="7" customFormat="1" ht="15" customHeight="1" x14ac:dyDescent="0.2">
      <c r="B39" s="55" t="s">
        <v>55</v>
      </c>
      <c r="C39" s="56"/>
      <c r="D39" s="56">
        <f>'Crusher Engine'!I52</f>
        <v>0</v>
      </c>
      <c r="E39" s="56">
        <f>Generator!I52</f>
        <v>0</v>
      </c>
      <c r="F39" s="57"/>
      <c r="G39" s="41">
        <f t="shared" si="1"/>
        <v>0</v>
      </c>
      <c r="H39" s="42"/>
    </row>
    <row r="40" spans="2:8" s="7" customFormat="1" ht="15" customHeight="1" x14ac:dyDescent="0.2">
      <c r="B40" s="55" t="s">
        <v>150</v>
      </c>
      <c r="C40" s="56"/>
      <c r="D40" s="56">
        <f>'Crusher Engine'!I53</f>
        <v>0</v>
      </c>
      <c r="E40" s="56">
        <f>Generator!I53</f>
        <v>0</v>
      </c>
      <c r="F40" s="57"/>
      <c r="G40" s="41">
        <f t="shared" si="1"/>
        <v>0</v>
      </c>
      <c r="H40" s="42"/>
    </row>
    <row r="41" spans="2:8" s="7" customFormat="1" ht="15" customHeight="1" x14ac:dyDescent="0.2">
      <c r="B41" s="59" t="s">
        <v>151</v>
      </c>
      <c r="C41" s="60"/>
      <c r="D41" s="60">
        <f>'Crusher Engine'!I54</f>
        <v>0</v>
      </c>
      <c r="E41" s="60">
        <f>Generator!I54</f>
        <v>0</v>
      </c>
      <c r="F41" s="61"/>
      <c r="G41" s="41">
        <f t="shared" si="1"/>
        <v>0</v>
      </c>
      <c r="H41" s="42"/>
    </row>
    <row r="42" spans="2:8" s="7" customFormat="1" ht="15" customHeight="1" x14ac:dyDescent="0.2">
      <c r="B42" s="11" t="s">
        <v>152</v>
      </c>
      <c r="C42" s="27"/>
      <c r="D42" s="27">
        <f>'Crusher Engine'!I55</f>
        <v>0</v>
      </c>
      <c r="E42" s="27">
        <f>Generator!I55</f>
        <v>0</v>
      </c>
      <c r="F42" s="27"/>
      <c r="G42" s="41">
        <f t="shared" si="1"/>
        <v>0</v>
      </c>
      <c r="H42" s="42"/>
    </row>
    <row r="43" spans="2:8" s="7" customFormat="1" ht="15" customHeight="1" x14ac:dyDescent="0.2">
      <c r="B43" s="11" t="s">
        <v>153</v>
      </c>
      <c r="C43" s="27"/>
      <c r="D43" s="27">
        <f>'Crusher Engine'!I56</f>
        <v>0</v>
      </c>
      <c r="E43" s="27">
        <f>Generator!I56</f>
        <v>0</v>
      </c>
      <c r="F43" s="27"/>
      <c r="G43" s="41">
        <f t="shared" si="1"/>
        <v>0</v>
      </c>
      <c r="H43" s="42"/>
    </row>
    <row r="44" spans="2:8" s="7" customFormat="1" ht="15" customHeight="1" x14ac:dyDescent="0.2">
      <c r="B44" s="11" t="s">
        <v>56</v>
      </c>
      <c r="C44" s="27"/>
      <c r="D44" s="27">
        <f>'Crusher Engine'!I57</f>
        <v>0</v>
      </c>
      <c r="E44" s="27">
        <f>Generator!I57</f>
        <v>0</v>
      </c>
      <c r="F44" s="27"/>
      <c r="G44" s="41">
        <f t="shared" si="1"/>
        <v>0</v>
      </c>
      <c r="H44" s="42"/>
    </row>
    <row r="45" spans="2:8" s="7" customFormat="1" ht="15" customHeight="1" x14ac:dyDescent="0.2">
      <c r="B45" s="11" t="s">
        <v>154</v>
      </c>
      <c r="C45" s="27"/>
      <c r="D45" s="27">
        <f>'Crusher Engine'!I58</f>
        <v>0</v>
      </c>
      <c r="E45" s="27">
        <f>Generator!I58</f>
        <v>0</v>
      </c>
      <c r="F45" s="27"/>
      <c r="G45" s="41">
        <f t="shared" si="1"/>
        <v>0</v>
      </c>
      <c r="H45" s="42"/>
    </row>
    <row r="46" spans="2:8" s="7" customFormat="1" ht="15" customHeight="1" x14ac:dyDescent="0.2">
      <c r="B46" s="11" t="s">
        <v>155</v>
      </c>
      <c r="C46" s="27"/>
      <c r="D46" s="27">
        <f>'Crusher Engine'!I59</f>
        <v>0</v>
      </c>
      <c r="E46" s="27">
        <f>Generator!I59</f>
        <v>0</v>
      </c>
      <c r="F46" s="27"/>
      <c r="G46" s="41">
        <f t="shared" si="1"/>
        <v>0</v>
      </c>
      <c r="H46" s="43"/>
    </row>
    <row r="47" spans="2:8" s="7" customFormat="1" ht="15" customHeight="1" x14ac:dyDescent="0.2">
      <c r="B47" s="65" t="s">
        <v>64</v>
      </c>
      <c r="C47" s="66" t="str">
        <f>IF(G47=G22,B22,IF(G47=G23,B23,IF(G47=G24,B24,IF(G47=G25,B25,IF(G47=G26,B26,IF(G47=G27,B27,IF(G47=G28,B28,IF(G47=G29,B29,IF(G47=G30,B30,IF(G47=G31,B31,IF(G47=G32,B32,IF(G47=G33,B33,IF(G47=G34,B34,IF(G47=G35,B35,IF(G47=G36,B36,IF(G47=G37,B37,IF(G47=G38,B38,IF(G47=G39,B39,IF(G47=G40,B40,IF(G47=G41,B41,IF(G47=G42,B42,IF(G47=G43,B43,IF(G47=G44,B44,IF(G47=G45,B45,IF(G47=G46,B46)))))))))))))))))))))))))</f>
        <v>1,1,2,2-tetrachloroethane</v>
      </c>
      <c r="D47" s="67"/>
      <c r="E47" s="68"/>
      <c r="F47" s="67"/>
      <c r="G47" s="41">
        <f>MAX(G22:G46)</f>
        <v>0</v>
      </c>
      <c r="H47" s="69">
        <v>5</v>
      </c>
    </row>
    <row r="48" spans="2:8" s="7" customFormat="1" ht="15" customHeight="1" thickBot="1" x14ac:dyDescent="0.25">
      <c r="B48" s="70" t="s">
        <v>57</v>
      </c>
      <c r="C48" s="34"/>
      <c r="D48" s="34"/>
      <c r="E48" s="34"/>
      <c r="F48" s="34"/>
      <c r="G48" s="71">
        <f>SUM(G22:G46)</f>
        <v>0</v>
      </c>
      <c r="H48" s="76">
        <v>12.5</v>
      </c>
    </row>
    <row r="49" s="7" customFormat="1" ht="12.75" x14ac:dyDescent="0.2"/>
    <row r="50" s="7" customFormat="1" ht="12.75" x14ac:dyDescent="0.2"/>
    <row r="56" ht="15" customHeight="1" x14ac:dyDescent="0.25"/>
    <row r="59" ht="15" customHeight="1" x14ac:dyDescent="0.25"/>
  </sheetData>
  <sheetProtection formatCells="0" formatColumns="0" formatRows="0" insertColumns="0" insertRows="0" insertHyperlinks="0" deleteColumns="0" deleteRows="0" selectLockedCells="1" sort="0" autoFilter="0" pivotTables="0"/>
  <protectedRanges>
    <protectedRange algorithmName="SHA-512" hashValue="V6KOXPjMcRPfmYyVtFf0Nm1n1tGQrhxSvAfcMDLxP9K4+7o1RLppa+IGqhS1+B+Ti2tx6ncz1ru+1npwnRuocg==" saltValue="0fYKk886UMa7X7UsHutRUw==" spinCount="100000" sqref="C8:F15 C22:F46 C17:F19" name="Emission Unit Reference"/>
  </protectedRanges>
  <mergeCells count="10">
    <mergeCell ref="B1:H1"/>
    <mergeCell ref="B2:H2"/>
    <mergeCell ref="B3:H3"/>
    <mergeCell ref="B4:B6"/>
    <mergeCell ref="C4:C5"/>
    <mergeCell ref="D4:D5"/>
    <mergeCell ref="E4:E5"/>
    <mergeCell ref="F4:F5"/>
    <mergeCell ref="G4:G5"/>
    <mergeCell ref="H4:H5"/>
  </mergeCells>
  <conditionalFormatting sqref="B3">
    <cfRule type="containsText" dxfId="19" priority="11" operator="containsText" text="permit is required">
      <formula>NOT(ISERROR(SEARCH("permit is required",B3)))</formula>
    </cfRule>
  </conditionalFormatting>
  <conditionalFormatting sqref="C8:F48">
    <cfRule type="cellIs" dxfId="18" priority="1" operator="equal">
      <formula>0</formula>
    </cfRule>
  </conditionalFormatting>
  <conditionalFormatting sqref="H22:H46">
    <cfRule type="cellIs" dxfId="17" priority="38" operator="lessThan">
      <formula>9.99999999999999E+22</formula>
    </cfRule>
  </conditionalFormatting>
  <pageMargins left="0.25" right="0.25" top="0.75" bottom="0.75" header="0.3" footer="0.3"/>
  <pageSetup fitToHeight="0" orientation="landscape" verticalDpi="1200" r:id="rId1"/>
  <headerFooter>
    <oddFooter>&amp;L&amp;"Arial,Italic"&amp;8p-sbap5-30&amp;C&amp;"Arial,Italic"&amp;8https://www.pca.state.mn.us  •  Available in alternative formats  •  Use your preferred relay service&amp;R&amp;10Page &amp;P of &amp;N</oddFooter>
    <firstFooter>&amp;L&amp;10Grain and Commodity Calculator - Instructions&amp;R&amp;10&amp;P</firstFooter>
  </headerFooter>
  <rowBreaks count="2" manualBreakCount="2">
    <brk id="34" min="1" max="7" man="1"/>
    <brk id="48" min="1" max="8" man="1"/>
  </rowBreaks>
  <extLst>
    <ext xmlns:x14="http://schemas.microsoft.com/office/spreadsheetml/2009/9/main" uri="{78C0D931-6437-407d-A8EE-F0AAD7539E65}">
      <x14:conditionalFormattings>
        <x14:conditionalFormatting xmlns:xm="http://schemas.microsoft.com/office/excel/2006/main">
          <x14:cfRule type="iconSet" priority="25" id="{61390F45-4DD3-4D4C-88CE-96752A2F7922}">
            <x14:iconSet iconSet="3Flags" custom="1">
              <x14:cfvo type="percent">
                <xm:f>0</xm:f>
              </x14:cfvo>
              <x14:cfvo type="num">
                <xm:f>0</xm:f>
              </x14:cfvo>
              <x14:cfvo type="num">
                <xm:f>50</xm:f>
              </x14:cfvo>
              <x14:cfIcon iconSet="NoIcons" iconId="0"/>
              <x14:cfIcon iconSet="NoIcons" iconId="0"/>
              <x14:cfIcon iconSet="3Flags" iconId="1"/>
            </x14:iconSet>
          </x14:cfRule>
          <xm:sqref>G8:G14</xm:sqref>
        </x14:conditionalFormatting>
        <x14:conditionalFormatting xmlns:xm="http://schemas.microsoft.com/office/excel/2006/main">
          <x14:cfRule type="iconSet" priority="24" id="{14A48C45-ABF8-47AE-B0A0-E0B8FEE19180}">
            <x14:iconSet iconSet="3Flags" custom="1">
              <x14:cfvo type="percent">
                <xm:f>0</xm:f>
              </x14:cfvo>
              <x14:cfvo type="num">
                <xm:f>0</xm:f>
              </x14:cfvo>
              <x14:cfvo type="num">
                <xm:f>0.25</xm:f>
              </x14:cfvo>
              <x14:cfIcon iconSet="NoIcons" iconId="0"/>
              <x14:cfIcon iconSet="NoIcons" iconId="0"/>
              <x14:cfIcon iconSet="3Flags" iconId="1"/>
            </x14:iconSet>
          </x14:cfRule>
          <xm:sqref>G15</xm:sqref>
        </x14:conditionalFormatting>
        <x14:conditionalFormatting xmlns:xm="http://schemas.microsoft.com/office/excel/2006/main">
          <x14:cfRule type="iconSet" priority="19" id="{69021109-2762-4A47-A18B-57C12FA4C006}">
            <x14:iconSet iconSet="3Flags" custom="1">
              <x14:cfvo type="percent">
                <xm:f>0</xm:f>
              </x14:cfvo>
              <x14:cfvo type="num">
                <xm:f>0</xm:f>
              </x14:cfvo>
              <x14:cfvo type="num">
                <xm:f>100000</xm:f>
              </x14:cfvo>
              <x14:cfIcon iconSet="NoIcons" iconId="0"/>
              <x14:cfIcon iconSet="NoIcons" iconId="0"/>
              <x14:cfIcon iconSet="3Flags" iconId="1"/>
            </x14:iconSet>
          </x14:cfRule>
          <xm:sqref>G20</xm:sqref>
        </x14:conditionalFormatting>
        <x14:conditionalFormatting xmlns:xm="http://schemas.microsoft.com/office/excel/2006/main">
          <x14:cfRule type="iconSet" priority="23" id="{DB22EE68-30BD-4574-B9D6-12763F66CD29}">
            <x14:iconSet iconSet="3Flags" custom="1">
              <x14:cfvo type="percent">
                <xm:f>0</xm:f>
              </x14:cfvo>
              <x14:cfvo type="num">
                <xm:f>0</xm:f>
              </x14:cfvo>
              <x14:cfvo type="num">
                <xm:f>5</xm:f>
              </x14:cfvo>
              <x14:cfIcon iconSet="NoIcons" iconId="0"/>
              <x14:cfIcon iconSet="NoIcons" iconId="0"/>
              <x14:cfIcon iconSet="3Flags" iconId="1"/>
            </x14:iconSet>
          </x14:cfRule>
          <xm:sqref>G47</xm:sqref>
        </x14:conditionalFormatting>
        <x14:conditionalFormatting xmlns:xm="http://schemas.microsoft.com/office/excel/2006/main">
          <x14:cfRule type="iconSet" priority="22" id="{406F7F16-5B7B-4CB4-95A4-B99CD78C29DB}">
            <x14:iconSet iconSet="3Flags" custom="1">
              <x14:cfvo type="percent">
                <xm:f>0</xm:f>
              </x14:cfvo>
              <x14:cfvo type="num">
                <xm:f>0</xm:f>
              </x14:cfvo>
              <x14:cfvo type="num">
                <xm:f>12.5</xm:f>
              </x14:cfvo>
              <x14:cfIcon iconSet="NoIcons" iconId="0"/>
              <x14:cfIcon iconSet="NoIcons" iconId="0"/>
              <x14:cfIcon iconSet="3Flags" iconId="1"/>
            </x14:iconSet>
          </x14:cfRule>
          <xm:sqref>G48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64</vt:i4>
      </vt:variant>
    </vt:vector>
  </HeadingPairs>
  <TitlesOfParts>
    <vt:vector size="77" baseType="lpstr">
      <vt:lpstr>Instructions</vt:lpstr>
      <vt:lpstr>Federal standards</vt:lpstr>
      <vt:lpstr>State general permit</vt:lpstr>
      <vt:lpstr>Aggregate</vt:lpstr>
      <vt:lpstr>Crusher Engine</vt:lpstr>
      <vt:lpstr>Generator</vt:lpstr>
      <vt:lpstr>Fugitive</vt:lpstr>
      <vt:lpstr>Potential emissions</vt:lpstr>
      <vt:lpstr>Actual emissions</vt:lpstr>
      <vt:lpstr>Permits &amp; requirements</vt:lpstr>
      <vt:lpstr>Aggregate emission factors</vt:lpstr>
      <vt:lpstr>Engine emission factors</vt:lpstr>
      <vt:lpstr>Data validation</vt:lpstr>
      <vt:lpstr>'Crusher Engine'!Emer</vt:lpstr>
      <vt:lpstr>'Data validation'!Emer</vt:lpstr>
      <vt:lpstr>'Engine emission factors'!Emer</vt:lpstr>
      <vt:lpstr>Generator!Emer</vt:lpstr>
      <vt:lpstr>'Crusher Engine'!ng2l</vt:lpstr>
      <vt:lpstr>'Data validation'!ng2l</vt:lpstr>
      <vt:lpstr>'Engine emission factors'!ng2l</vt:lpstr>
      <vt:lpstr>Generator!ng2l</vt:lpstr>
      <vt:lpstr>'Crusher Engine'!ngl</vt:lpstr>
      <vt:lpstr>'Data validation'!ngl</vt:lpstr>
      <vt:lpstr>'Engine emission factors'!ngl</vt:lpstr>
      <vt:lpstr>Generator!ngl</vt:lpstr>
      <vt:lpstr>'Crusher Engine'!ngr</vt:lpstr>
      <vt:lpstr>'Data validation'!ngr</vt:lpstr>
      <vt:lpstr>'Engine emission factors'!ngr</vt:lpstr>
      <vt:lpstr>Generator!ngr</vt:lpstr>
      <vt:lpstr>'Actual emissions'!Print_Area</vt:lpstr>
      <vt:lpstr>Aggregate!Print_Area</vt:lpstr>
      <vt:lpstr>'Aggregate emission factors'!Print_Area</vt:lpstr>
      <vt:lpstr>'Crusher Engine'!Print_Area</vt:lpstr>
      <vt:lpstr>'Engine emission factors'!Print_Area</vt:lpstr>
      <vt:lpstr>'Federal standards'!Print_Area</vt:lpstr>
      <vt:lpstr>Fugitive!Print_Area</vt:lpstr>
      <vt:lpstr>Generator!Print_Area</vt:lpstr>
      <vt:lpstr>Instructions!Print_Area</vt:lpstr>
      <vt:lpstr>'Permits &amp; requirements'!Print_Area</vt:lpstr>
      <vt:lpstr>'Potential emissions'!Print_Area</vt:lpstr>
      <vt:lpstr>'State general permit'!Print_Area</vt:lpstr>
      <vt:lpstr>'Actual emissions'!Print_Titles</vt:lpstr>
      <vt:lpstr>Aggregate!Print_Titles</vt:lpstr>
      <vt:lpstr>'Aggregate emission factors'!Print_Titles</vt:lpstr>
      <vt:lpstr>'Crusher Engine'!Print_Titles</vt:lpstr>
      <vt:lpstr>'Engine emission factors'!Print_Titles</vt:lpstr>
      <vt:lpstr>'Federal standards'!Print_Titles</vt:lpstr>
      <vt:lpstr>Fugitive!Print_Titles</vt:lpstr>
      <vt:lpstr>Generator!Print_Titles</vt:lpstr>
      <vt:lpstr>'Permits &amp; requirements'!Print_Titles</vt:lpstr>
      <vt:lpstr>'Potential emissions'!Print_Titles</vt:lpstr>
      <vt:lpstr>'State general permit'!Print_Titles</vt:lpstr>
      <vt:lpstr>pro</vt:lpstr>
      <vt:lpstr>'Crusher Engine'!rd</vt:lpstr>
      <vt:lpstr>'Data validation'!rd</vt:lpstr>
      <vt:lpstr>'Engine emission factors'!rd</vt:lpstr>
      <vt:lpstr>Generator!rd</vt:lpstr>
      <vt:lpstr>'Crusher Engine'!rg</vt:lpstr>
      <vt:lpstr>'Data validation'!rg</vt:lpstr>
      <vt:lpstr>'Engine emission factors'!rg</vt:lpstr>
      <vt:lpstr>Generator!rg</vt:lpstr>
      <vt:lpstr>'Crusher Engine'!Routine</vt:lpstr>
      <vt:lpstr>'Data validation'!Routine</vt:lpstr>
      <vt:lpstr>'Engine emission factors'!Routine</vt:lpstr>
      <vt:lpstr>Generator!Routine</vt:lpstr>
      <vt:lpstr>'Crusher Engine'!select</vt:lpstr>
      <vt:lpstr>'Data validation'!select</vt:lpstr>
      <vt:lpstr>'Engine emission factors'!select</vt:lpstr>
      <vt:lpstr>Generator!select</vt:lpstr>
      <vt:lpstr>'Crusher Engine'!so</vt:lpstr>
      <vt:lpstr>'Data validation'!so</vt:lpstr>
      <vt:lpstr>'Engine emission factors'!so</vt:lpstr>
      <vt:lpstr>Generator!so</vt:lpstr>
      <vt:lpstr>'Crusher Engine'!tng</vt:lpstr>
      <vt:lpstr>'Data validation'!tng</vt:lpstr>
      <vt:lpstr>'Engine emission factors'!tng</vt:lpstr>
      <vt:lpstr>Generator!tng</vt:lpstr>
    </vt:vector>
  </TitlesOfParts>
  <Manager>Sandra Simbeck</Manager>
  <Company>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Aggregate: sand and gravel air emissions calculator</dc:title>
  <dc:subject>SBEAP has developed a series of forms to help small businesses determine if they need an air emissions permit.</dc:subject>
  <dc:creator>Minnesota Pollution Control Agency - Emily Ohde and Samantha Connolly (Sandra Simbeck)</dc:creator>
  <cp:keywords>Minnesota Pollution Control Agency,p-sbap5-30,MPCA,planning,small business environmental assistance program,emission summary,air emissions calculator,aggregate,sand,gravel</cp:keywords>
  <dc:description>Blue Text needs to stay-as is (SS)._x000d_
On this calculator, only the Federal Standards, State General Permit tabs, and a hidden tab are locked. This is already done. The other tabs should not be locked (per Emily 2023).</dc:description>
  <cp:lastModifiedBy>Simbeck, Sandra (MPCA)</cp:lastModifiedBy>
  <cp:lastPrinted>2019-04-18T14:26:20Z</cp:lastPrinted>
  <dcterms:created xsi:type="dcterms:W3CDTF">2018-08-09T13:21:05Z</dcterms:created>
  <dcterms:modified xsi:type="dcterms:W3CDTF">2025-07-31T15:51:22Z</dcterms:modified>
  <cp:category>planning, small business environmental assistance program</cp:category>
</cp:coreProperties>
</file>